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6/CvO5pfVa9V3lju/UxA0iLPC7c5tm3ocm1G+HB7bh5w01a7VY9JzJ5dFNYRlpaogddNBlW+ZioARbqB5XPexA==" workbookSaltValue="bCRUEfRDPyi2K0da19IE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BG10" i="8"/>
  <c r="BF9" i="8"/>
  <c r="AB13" i="21"/>
  <c r="AL16" i="11"/>
  <c r="C16" i="6"/>
  <c r="BE9" i="13"/>
  <c r="R8" i="9"/>
  <c r="T17" i="11" s="1"/>
  <c r="X17" i="20"/>
  <c r="V15" i="20"/>
  <c r="V18" i="20" s="1"/>
  <c r="R12" i="14"/>
  <c r="T15" i="11"/>
  <c r="AA15" i="16"/>
  <c r="V15" i="16"/>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AQ13" i="21"/>
  <c r="AA9" i="16"/>
  <c r="AA10" i="16"/>
  <c r="S9" i="14"/>
  <c r="V9" i="14" s="1"/>
  <c r="S17" i="14"/>
  <c r="V17" i="14" s="1"/>
  <c r="L11" i="2"/>
  <c r="X10" i="17"/>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BE13" i="8"/>
  <c r="B13" i="6"/>
  <c r="AO13" i="17"/>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<sst xmlns="http://schemas.openxmlformats.org/spreadsheetml/2006/main" count="2102" uniqueCount="918">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</sst>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5SvygpKa1Lwc4Ic4Dtwk38Fb70VeVuGSS3D151KiE5XAVQi7JKVM+sJKOpFbg1/8Xltm39r+ooqNcnEg4QKJQ==" saltValue="OqQElSupxQGPI/1kiaRv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69</v>
      </c>
      <c r="E10" s="226">
        <f>IF(ISNUMBER(Datos!J10),Datos!J10," - ")</f>
        <v>2</v>
      </c>
      <c r="F10" s="226">
        <f>IF(ISNUMBER(Datos!K10),Datos!K10," - ")</f>
        <v>8</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-8.6956521739130432E-2</v>
      </c>
      <c r="L10" s="1025">
        <f>IF(ISNUMBER(NºAsuntos!I10/NºAsuntos!G10),(NºAsuntos!I10/NºAsuntos!G10)*11," - ")</f>
        <v>86.625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160.42050209205021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69</v>
      </c>
      <c r="E13" s="1050">
        <f>SUBTOTAL(9,E9:E12)</f>
        <v>2</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4707</v>
      </c>
      <c r="D16" s="225">
        <f>IF(ISNUMBER(IF(D_I="SI",Datos!I16,Datos!I16+Datos!AC16)),IF(D_I="SI",Datos!I16,Datos!I16+Datos!AC16)," - ")</f>
        <v>4696</v>
      </c>
      <c r="E16" s="226">
        <f>IF(ISNUMBER(IF(D_I="SI",Datos!J16,Datos!J16+Datos!AD16)),IF(D_I="SI",Datos!J16,Datos!J16+Datos!AD16)," - ")</f>
        <v>1362</v>
      </c>
      <c r="F16" s="226">
        <f>IF(ISNUMBER(IF(D_I="SI",Datos!K16,Datos!K16+Datos!AE16)),IF(D_I="SI",Datos!K16,Datos!K16+Datos!AE16)," - ")</f>
        <v>864</v>
      </c>
      <c r="G16" s="1034" t="str">
        <f>IF(Datos!E16&lt;&gt;"",Datos!E16,Datos!D16)</f>
        <v>04</v>
      </c>
      <c r="H16" s="227">
        <f>IF(ISNUMBER(IF(D_I="SI",Datos!L16,Datos!L16+Datos!AF16)),IF(D_I="SI",Datos!L16,Datos!L16+Datos!AF16)," - ")</f>
        <v>5205</v>
      </c>
      <c r="I16" s="1044" t="str">
        <f>IF(ISNUMBER(Datos!AS16/Datos!BM16),Datos!AS16/Datos!BM16," - ")</f>
        <v xml:space="preserve"> - </v>
      </c>
      <c r="J16" s="1045">
        <f>IF(ISNUMBER(Datos!BY16/Datos!CN16),Datos!BY16/Datos!CN16," - ")</f>
        <v>0</v>
      </c>
      <c r="K16" s="230">
        <f t="shared" si="3"/>
        <v>0.10579987253027406</v>
      </c>
      <c r="L16" s="1025">
        <f>IF(ISNUMBER(NºAsuntos!I16/NºAsuntos!G16),(NºAsuntos!I16/NºAsuntos!G16)*11," - ")</f>
        <v>66.267361111111114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170</v>
      </c>
      <c r="E17" s="226">
        <f>IF(ISNUMBER(IF(D_I="SI",Datos!J17,Datos!J17+Datos!AD17)),IF(D_I="SI",Datos!J17,Datos!J17+Datos!AD17)," - ")</f>
        <v>56</v>
      </c>
      <c r="F17" s="226">
        <f>IF(ISNUMBER(IF(D_I="SI",Datos!K17,Datos!K17+Datos!AE17)),IF(D_I="SI",Datos!K17,Datos!K17+Datos!AE17)," - ")</f>
        <v>99</v>
      </c>
      <c r="G17" s="1034" t="str">
        <f>IF(Datos!E17&lt;&gt;"",Datos!E17,Datos!D17)</f>
        <v>37</v>
      </c>
      <c r="H17" s="227">
        <f>IF(ISNUMBER(IF(D_I="SI",Datos!L17,Datos!L17+Datos!AF17)),IF(D_I="SI",Datos!L17,Datos!L17+Datos!AF17)," - ")</f>
        <v>127</v>
      </c>
      <c r="I17" s="1044" t="str">
        <f>IF(ISNUMBER(Datos!AS17/Datos!BM17),Datos!AS17/Datos!BM17," - ")</f>
        <v xml:space="preserve"> - </v>
      </c>
      <c r="J17" s="1045" t="str">
        <f>IF(ISNUMBER((Datos!BY17+Datos!BZ17)/Datos!CN17),(Datos!BY17+Datos!BZ17)/Datos!CN17," - ")</f>
        <v xml:space="preserve"> - </v>
      </c>
      <c r="K17" s="230">
        <f t="shared" si="3"/>
        <v>-0.25294117647058822</v>
      </c>
      <c r="L17" s="1025">
        <f>IF(ISNUMBER(NºAsuntos!I17/NºAsuntos!G17),(NºAsuntos!I17/NºAsuntos!G17)*11," - ")</f>
        <v>14.111111111111111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4877</v>
      </c>
      <c r="D18" s="1049">
        <f>SUBTOTAL(9,D15:D17)</f>
        <v>4866</v>
      </c>
      <c r="E18" s="1050">
        <f>SUBTOTAL(9,E15:E17)</f>
        <v>1418</v>
      </c>
      <c r="F18" s="1050">
        <f>SUBTOTAL(9,F15:F17)</f>
        <v>963</v>
      </c>
      <c r="G18" s="1052" t="str">
        <f ca="1">INDIRECT(CONCATENATE("G",ROW()-1))</f>
        <v>37</v>
      </c>
      <c r="H18" s="1053">
        <f ca="1">SUMIF(G$14:G17,G18,H$14:H17)</f>
        <v>127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4946</v>
      </c>
      <c r="D19" s="1071">
        <f>SUBTOTAL(9,D9:D18)</f>
        <v>4935</v>
      </c>
      <c r="E19" s="1072">
        <f>SUBTOTAL(9,E9:E18)</f>
        <v>1420</v>
      </c>
      <c r="F19" s="1072">
        <f>SUBTOTAL(9,F9:F18)</f>
        <v>971</v>
      </c>
      <c r="G19" s="1073"/>
      <c r="H19" s="1074">
        <f ca="1">SUMIF(B9:B18,"TOTAL",H9:H18)</f>
        <v>127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yuoh2DFYGSH3Id6UtpDX/jefW6KvK0p9uznulNt3oc+vbX/Hz4GUGaZoarcN5gMlh35Ea3lxUq0Te+iNNGkUg==" saltValue="SLRoglrhK5qCBE9w6IVz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jqlSJxHRTw2LymqenlQwGk/stZZUAXHxQj54PlFQEvtGK5wZsOXDuV2h8OfAAwW1/6bRkSH5NuOGMdQv8UWhA==" saltValue="1jxNeJb2Y+arpIfoWcEr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69</v>
      </c>
      <c r="J10" s="181">
        <v>2</v>
      </c>
      <c r="K10" s="181">
        <v>8</v>
      </c>
      <c r="L10" s="181">
        <v>63</v>
      </c>
      <c r="M10" s="181">
        <v>2</v>
      </c>
      <c r="N10" s="181">
        <v>3</v>
      </c>
      <c r="O10" s="181">
        <v>0</v>
      </c>
      <c r="P10" s="181">
        <v>3</v>
      </c>
      <c r="Q10" s="181">
        <v>1</v>
      </c>
      <c r="R10" s="181">
        <v>13</v>
      </c>
      <c r="S10" s="181">
        <v>135</v>
      </c>
      <c r="T10" s="181">
        <v>1</v>
      </c>
      <c r="U10" s="181">
        <v>0</v>
      </c>
      <c r="V10" s="181">
        <v>136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135</v>
      </c>
      <c r="AZ10" s="129">
        <f t="shared" si="0"/>
        <v>1</v>
      </c>
      <c r="BA10" s="129">
        <f t="shared" si="0"/>
        <v>0</v>
      </c>
      <c r="BB10" s="129">
        <f t="shared" si="0"/>
        <v>136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6519</v>
      </c>
      <c r="J12" s="183">
        <v>760</v>
      </c>
      <c r="K12" s="183">
        <v>454</v>
      </c>
      <c r="L12" s="183">
        <v>6853</v>
      </c>
      <c r="M12" s="183">
        <v>104</v>
      </c>
      <c r="N12" s="183">
        <v>217</v>
      </c>
      <c r="O12" s="181">
        <v>193</v>
      </c>
      <c r="P12" s="183">
        <v>112</v>
      </c>
      <c r="Q12" s="183">
        <v>46</v>
      </c>
      <c r="R12" s="183">
        <v>4720</v>
      </c>
      <c r="S12" s="183">
        <v>3983</v>
      </c>
      <c r="T12" s="183">
        <v>1579</v>
      </c>
      <c r="U12" s="183">
        <v>510</v>
      </c>
      <c r="V12" s="183">
        <v>5052</v>
      </c>
      <c r="W12" s="183">
        <v>173</v>
      </c>
      <c r="X12" s="189">
        <v>206</v>
      </c>
      <c r="Y12" s="191">
        <v>119</v>
      </c>
      <c r="Z12" s="181">
        <v>23</v>
      </c>
      <c r="AA12" s="181">
        <v>24</v>
      </c>
      <c r="AB12" s="181">
        <v>118</v>
      </c>
      <c r="AC12" s="183">
        <v>0</v>
      </c>
      <c r="AD12" s="183">
        <v>0</v>
      </c>
      <c r="AE12" s="183">
        <v>0</v>
      </c>
      <c r="AF12" s="189">
        <v>0</v>
      </c>
      <c r="AG12" s="202">
        <v>196</v>
      </c>
      <c r="AH12" s="183">
        <v>50</v>
      </c>
      <c r="AI12" s="183">
        <v>40</v>
      </c>
      <c r="AJ12" s="203">
        <v>206</v>
      </c>
      <c r="AK12" s="182">
        <v>0</v>
      </c>
      <c r="AL12" s="183">
        <v>0</v>
      </c>
      <c r="AM12" s="183">
        <v>0</v>
      </c>
      <c r="AN12" s="189">
        <v>0</v>
      </c>
      <c r="AO12" s="259">
        <v>3</v>
      </c>
      <c r="AP12" s="155">
        <v>3</v>
      </c>
      <c r="AQ12" s="155">
        <v>3</v>
      </c>
      <c r="AR12" s="154">
        <v>3</v>
      </c>
      <c r="AS12" s="340" t="s">
        <v>802</v>
      </c>
      <c r="AT12" s="203"/>
      <c r="AU12" s="202"/>
      <c r="AV12" s="203"/>
      <c r="AW12" s="202"/>
      <c r="AX12" s="203"/>
      <c r="AY12" s="126">
        <f t="shared" si="1"/>
        <v>4179</v>
      </c>
      <c r="AZ12" s="127">
        <f t="shared" si="1"/>
        <v>1629</v>
      </c>
      <c r="BA12" s="127">
        <f t="shared" si="1"/>
        <v>550</v>
      </c>
      <c r="BB12" s="127">
        <f t="shared" si="1"/>
        <v>5258</v>
      </c>
      <c r="BC12" s="125">
        <f>IF(ISNUMBER(X12),X12," - ")</f>
        <v>206</v>
      </c>
      <c r="BD12" s="126">
        <f t="shared" si="2"/>
        <v>0.33763044812768572</v>
      </c>
      <c r="BE12" s="127">
        <f t="shared" si="3"/>
        <v>9.56</v>
      </c>
      <c r="BF12" s="127">
        <f t="shared" si="4"/>
        <v>0.37454545454545457</v>
      </c>
      <c r="BG12" s="196">
        <f t="shared" si="5"/>
        <v>10.56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6588</v>
      </c>
      <c r="J13" s="184">
        <f t="shared" si="6"/>
        <v>762</v>
      </c>
      <c r="K13" s="184">
        <f t="shared" si="6"/>
        <v>462</v>
      </c>
      <c r="L13" s="184">
        <f t="shared" si="6"/>
        <v>6916</v>
      </c>
      <c r="M13" s="184">
        <f t="shared" si="6"/>
        <v>106</v>
      </c>
      <c r="N13" s="184">
        <f t="shared" si="6"/>
        <v>220</v>
      </c>
      <c r="O13" s="184">
        <f t="shared" si="6"/>
        <v>193</v>
      </c>
      <c r="P13" s="184">
        <f t="shared" si="6"/>
        <v>115</v>
      </c>
      <c r="Q13" s="184">
        <f t="shared" si="6"/>
        <v>47</v>
      </c>
      <c r="R13" s="184">
        <f t="shared" si="6"/>
        <v>4733</v>
      </c>
      <c r="S13" s="184">
        <f t="shared" si="6"/>
        <v>4118</v>
      </c>
      <c r="T13" s="184">
        <f t="shared" si="6"/>
        <v>1580</v>
      </c>
      <c r="U13" s="184">
        <f t="shared" si="6"/>
        <v>510</v>
      </c>
      <c r="V13" s="184">
        <f t="shared" si="6"/>
        <v>5188</v>
      </c>
      <c r="W13" s="184">
        <f t="shared" si="6"/>
        <v>173</v>
      </c>
      <c r="X13" s="184">
        <f t="shared" si="6"/>
        <v>206</v>
      </c>
      <c r="Y13" s="184">
        <f t="shared" si="6"/>
        <v>119</v>
      </c>
      <c r="Z13" s="184">
        <f t="shared" si="6"/>
        <v>23</v>
      </c>
      <c r="AA13" s="184">
        <f t="shared" si="6"/>
        <v>24</v>
      </c>
      <c r="AB13" s="184">
        <f t="shared" si="6"/>
        <v>118</v>
      </c>
      <c r="AC13" s="184">
        <f t="shared" si="6"/>
        <v>0</v>
      </c>
      <c r="AD13" s="184">
        <f t="shared" si="6"/>
        <v>0</v>
      </c>
      <c r="AE13" s="184">
        <f t="shared" si="6"/>
        <v>0</v>
      </c>
      <c r="AF13" s="184">
        <f>SUBTOTAL(9,AF9:AF12)</f>
        <v>0</v>
      </c>
      <c r="AG13" s="184">
        <f t="shared" ref="AG13:AT13" si="7">SUBTOTAL(9,AG8:AG12)</f>
        <v>196</v>
      </c>
      <c r="AH13" s="184">
        <f t="shared" si="7"/>
        <v>50</v>
      </c>
      <c r="AI13" s="184">
        <f t="shared" si="7"/>
        <v>40</v>
      </c>
      <c r="AJ13" s="184">
        <f t="shared" si="7"/>
        <v>206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4314</v>
      </c>
      <c r="AZ13" s="184">
        <f>SUBTOTAL(9,AZ8:AZ12)</f>
        <v>1630</v>
      </c>
      <c r="BA13" s="184">
        <f>SUBTOTAL(9,BA8:BA12)</f>
        <v>550</v>
      </c>
      <c r="BB13" s="184">
        <f>SUBTOTAL(9,BB8:BB12)</f>
        <v>5394</v>
      </c>
      <c r="BC13" s="184">
        <f>SUBTOTAL(9,BC8:BC12)</f>
        <v>206</v>
      </c>
      <c r="BD13" s="205">
        <f>IF(ISNUMBER(BA13/AZ13),BA13/AZ13," - ")</f>
        <v>0.33742331288343558</v>
      </c>
      <c r="BE13" s="206">
        <f>IF(ISNUMBER(BB13/BA13),BB13/BA13, " - ")</f>
        <v>9.8072727272727267</v>
      </c>
      <c r="BF13" s="206">
        <f>IF(ISNUMBER(BC13/BA13),BC13/BA13, " - ")</f>
        <v>0.37454545454545457</v>
      </c>
      <c r="BG13" s="207">
        <f>IF(ISNUMBER((AY13+AZ13)/BA13),(AY13+AZ13)/BA13," - ")</f>
        <v>10.807272727272727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4696</v>
      </c>
      <c r="J16" s="183">
        <v>1362</v>
      </c>
      <c r="K16" s="183">
        <v>864</v>
      </c>
      <c r="L16" s="183">
        <v>5205</v>
      </c>
      <c r="M16" s="183">
        <v>88</v>
      </c>
      <c r="N16" s="183">
        <v>608</v>
      </c>
      <c r="O16" s="181">
        <v>13</v>
      </c>
      <c r="P16" s="183">
        <v>14</v>
      </c>
      <c r="Q16" s="183">
        <v>21</v>
      </c>
      <c r="R16" s="183">
        <v>141</v>
      </c>
      <c r="S16" s="183">
        <v>4681</v>
      </c>
      <c r="T16" s="183">
        <v>1141</v>
      </c>
      <c r="U16" s="183">
        <v>938</v>
      </c>
      <c r="V16" s="183">
        <v>4884</v>
      </c>
      <c r="W16" s="183">
        <v>88</v>
      </c>
      <c r="X16" s="189">
        <v>710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4681</v>
      </c>
      <c r="AZ16" s="127">
        <f t="shared" si="9"/>
        <v>1141</v>
      </c>
      <c r="BA16" s="127">
        <f t="shared" si="9"/>
        <v>938</v>
      </c>
      <c r="BB16" s="127">
        <f t="shared" si="9"/>
        <v>4884</v>
      </c>
      <c r="BC16" s="125">
        <f>IF(ISNUMBER(W16),W16," - ")</f>
        <v>88</v>
      </c>
      <c r="BD16" s="126">
        <f t="shared" ref="BD16" si="11">IF(ISNUMBER(BA16/AZ16),BA16/AZ16," - ")</f>
        <v>0.82208588957055218</v>
      </c>
      <c r="BE16" s="127">
        <f t="shared" ref="BE16" si="12">IF(ISNUMBER(BB16/BA16),BB16/BA16, " - ")</f>
        <v>5.2068230277185501</v>
      </c>
      <c r="BF16" s="127">
        <f t="shared" ref="BF16" si="13">IF(ISNUMBER(BC16/BA16),BC16/BA16, " - ")</f>
        <v>9.3816631130063971E-2</v>
      </c>
      <c r="BG16" s="196">
        <f t="shared" si="10"/>
        <v>6.2068230277185501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170</v>
      </c>
      <c r="J17" s="183">
        <v>56</v>
      </c>
      <c r="K17" s="183">
        <v>99</v>
      </c>
      <c r="L17" s="183">
        <v>127</v>
      </c>
      <c r="M17" s="183">
        <v>19</v>
      </c>
      <c r="N17" s="183">
        <v>77</v>
      </c>
      <c r="O17" s="183">
        <v>0</v>
      </c>
      <c r="P17" s="183">
        <v>0</v>
      </c>
      <c r="Q17" s="183">
        <v>0</v>
      </c>
      <c r="R17" s="183">
        <v>0</v>
      </c>
      <c r="S17" s="183">
        <v>144</v>
      </c>
      <c r="T17" s="183">
        <v>134</v>
      </c>
      <c r="U17" s="183">
        <v>85</v>
      </c>
      <c r="V17" s="183">
        <v>287</v>
      </c>
      <c r="W17" s="183">
        <v>6</v>
      </c>
      <c r="X17" s="189">
        <v>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144</v>
      </c>
      <c r="AZ17" s="129">
        <f t="shared" si="14"/>
        <v>134</v>
      </c>
      <c r="BA17" s="129">
        <f t="shared" si="14"/>
        <v>85</v>
      </c>
      <c r="BB17" s="129">
        <f t="shared" si="14"/>
        <v>287</v>
      </c>
      <c r="BC17" s="125">
        <f>IF(ISNUMBER(W17),W17," - ")</f>
        <v>6</v>
      </c>
      <c r="BD17" s="126">
        <f>IF(ISNUMBER(BA17/AZ17),BA17/AZ17," - ")</f>
        <v>0.63432835820895528</v>
      </c>
      <c r="BE17" s="127">
        <f>IF(ISNUMBER(BB17/BA17),BB17/BA17, " - ")</f>
        <v>3.3764705882352941</v>
      </c>
      <c r="BF17" s="127">
        <f>IF(ISNUMBER(BC17/BA17),BC17/BA17, " - ")</f>
        <v>7.0588235294117646E-2</v>
      </c>
      <c r="BG17" s="196">
        <f>IF(ISNUMBER((AY17+AZ17)/BA17),(AY17+AZ17)/BA17," - ")</f>
        <v>3.2705882352941176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4866</v>
      </c>
      <c r="J18" s="184">
        <f t="shared" si="15"/>
        <v>1418</v>
      </c>
      <c r="K18" s="184">
        <f t="shared" si="15"/>
        <v>963</v>
      </c>
      <c r="L18" s="184">
        <f t="shared" si="15"/>
        <v>5332</v>
      </c>
      <c r="M18" s="184">
        <f t="shared" si="15"/>
        <v>107</v>
      </c>
      <c r="N18" s="184">
        <f t="shared" si="15"/>
        <v>685</v>
      </c>
      <c r="O18" s="184">
        <f t="shared" si="15"/>
        <v>13</v>
      </c>
      <c r="P18" s="184">
        <f t="shared" si="15"/>
        <v>14</v>
      </c>
      <c r="Q18" s="184">
        <f t="shared" si="15"/>
        <v>21</v>
      </c>
      <c r="R18" s="184">
        <f t="shared" si="15"/>
        <v>141</v>
      </c>
      <c r="S18" s="184">
        <f t="shared" si="15"/>
        <v>4825</v>
      </c>
      <c r="T18" s="184">
        <f t="shared" si="15"/>
        <v>1275</v>
      </c>
      <c r="U18" s="184">
        <f t="shared" si="15"/>
        <v>1023</v>
      </c>
      <c r="V18" s="184">
        <f t="shared" si="15"/>
        <v>5171</v>
      </c>
      <c r="W18" s="184">
        <f t="shared" si="15"/>
        <v>94</v>
      </c>
      <c r="X18" s="184">
        <f t="shared" si="15"/>
        <v>807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4825</v>
      </c>
      <c r="AZ18" s="184">
        <f>SUBTOTAL(9,AZ14:AZ17)</f>
        <v>1275</v>
      </c>
      <c r="BA18" s="184">
        <f>SUBTOTAL(9,BA14:BA17)</f>
        <v>1023</v>
      </c>
      <c r="BB18" s="184">
        <f>SUBTOTAL(9,BB14:BB17)</f>
        <v>5171</v>
      </c>
      <c r="BC18" s="184">
        <f>SUBTOTAL(9,BC14:BC17)</f>
        <v>94</v>
      </c>
      <c r="BD18" s="205">
        <f>IF(ISNUMBER(BA18/AZ18),BA18/AZ18," - ")</f>
        <v>0.8023529411764706</v>
      </c>
      <c r="BE18" s="206">
        <f>IF(ISNUMBER(BB18/BA18),BB18/BA18, " - ")</f>
        <v>5.0547409579667644</v>
      </c>
      <c r="BF18" s="206">
        <f>IF(ISNUMBER(BC18/BA18),BC18/BA18, " - ")</f>
        <v>9.1886608015640275E-2</v>
      </c>
      <c r="BG18" s="207">
        <f>IF(ISNUMBER((AY18+AZ18)/BA18),(AY18+AZ18)/BA18," - ")</f>
        <v>5.9628543499511242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11454</v>
      </c>
      <c r="J19" s="134">
        <f t="shared" si="18"/>
        <v>2180</v>
      </c>
      <c r="K19" s="134">
        <f t="shared" si="18"/>
        <v>1425</v>
      </c>
      <c r="L19" s="134">
        <f t="shared" si="18"/>
        <v>12248</v>
      </c>
      <c r="M19" s="134">
        <f t="shared" si="18"/>
        <v>213</v>
      </c>
      <c r="N19" s="134">
        <f t="shared" si="18"/>
        <v>905</v>
      </c>
      <c r="O19" s="134">
        <f t="shared" si="18"/>
        <v>206</v>
      </c>
      <c r="P19" s="134">
        <f t="shared" si="18"/>
        <v>129</v>
      </c>
      <c r="Q19" s="134">
        <f t="shared" si="18"/>
        <v>68</v>
      </c>
      <c r="R19" s="134">
        <f t="shared" si="18"/>
        <v>4874</v>
      </c>
      <c r="S19" s="134">
        <f t="shared" si="18"/>
        <v>8943</v>
      </c>
      <c r="T19" s="134">
        <f t="shared" si="18"/>
        <v>2855</v>
      </c>
      <c r="U19" s="134">
        <f t="shared" si="18"/>
        <v>1533</v>
      </c>
      <c r="V19" s="134">
        <f t="shared" si="18"/>
        <v>10359</v>
      </c>
      <c r="W19" s="134">
        <f t="shared" si="18"/>
        <v>267</v>
      </c>
      <c r="X19" s="134">
        <f t="shared" si="18"/>
        <v>1013</v>
      </c>
      <c r="Y19" s="134">
        <f t="shared" si="18"/>
        <v>119</v>
      </c>
      <c r="Z19" s="134">
        <f t="shared" si="18"/>
        <v>23</v>
      </c>
      <c r="AA19" s="134">
        <f t="shared" si="18"/>
        <v>24</v>
      </c>
      <c r="AB19" s="134">
        <f t="shared" si="18"/>
        <v>118</v>
      </c>
      <c r="AC19" s="134">
        <f t="shared" si="18"/>
        <v>0</v>
      </c>
      <c r="AD19" s="134">
        <f t="shared" si="18"/>
        <v>0</v>
      </c>
      <c r="AE19" s="134">
        <f t="shared" si="18"/>
        <v>0</v>
      </c>
      <c r="AF19" s="134">
        <f t="shared" si="18"/>
        <v>0</v>
      </c>
      <c r="AG19" s="134">
        <f t="shared" si="18"/>
        <v>196</v>
      </c>
      <c r="AH19" s="134">
        <f t="shared" si="18"/>
        <v>50</v>
      </c>
      <c r="AI19" s="134">
        <f t="shared" si="18"/>
        <v>40</v>
      </c>
      <c r="AJ19" s="134">
        <f t="shared" si="18"/>
        <v>206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9139</v>
      </c>
      <c r="AZ19" s="134">
        <f>SUBTOTAL(9,AZ9:AZ18)</f>
        <v>2905</v>
      </c>
      <c r="BA19" s="134">
        <f>SUBTOTAL(9,BA9:BA18)</f>
        <v>1573</v>
      </c>
      <c r="BB19" s="134">
        <f>SUBTOTAL(9,BB9:BB18)</f>
        <v>10565</v>
      </c>
      <c r="BC19" s="135">
        <f>SUBTOTAL(9,BC9:BC18)</f>
        <v>300</v>
      </c>
      <c r="BD19" s="213">
        <f>IF(ISNUMBER(BA19/AZ19),BA19/AZ19," - ")</f>
        <v>0.54148020654044748</v>
      </c>
      <c r="BE19" s="210">
        <f>IF(ISNUMBER(BB19/BA19),BB19/BA19, " - ")</f>
        <v>6.7164653528289895</v>
      </c>
      <c r="BF19" s="210">
        <f>IF(ISNUMBER(BC19/BA19),BC19/BA19, " - ")</f>
        <v>0.19071837253655435</v>
      </c>
      <c r="BG19" s="135">
        <f>IF(ISNUMBER((AY19+AZ19)/BA19),(AY19+AZ19)/BA19," - ")</f>
        <v>7.6567069294342023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aHky3UXGxgFWdnsQh+nHi+9ajV/rbs9gkPW8RAMDs4CUlatxHJsio7Jz6VGQcP1cPdMw1eNkbxrrJkcTBnU2g==" saltValue="6Df9ZZCpavpBHeYXXEFl+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0zaaDnc7SwUNN+uj2hdsUwsPexzlk3Pwr0gHK98r8o7ArL0Z1Ldc4a7QptHQQj5jCn/zQR0ULGRyD8sRTKWA==" saltValue="kMxt8yyZROHqKi80Wjuc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69</v>
      </c>
      <c r="G10" s="333">
        <f>IF(ISNUMBER(Datos!I10),Datos!I10," - ")</f>
        <v>69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63</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23.625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118</v>
      </c>
      <c r="AI12" s="334" t="str">
        <f>IF(ISNUMBER(Datos!CD12),Datos!CD12,"-")</f>
        <v>-</v>
      </c>
      <c r="AJ12" s="334" t="str">
        <f>IF(ISNUMBER(Datos!EN12),Datos!EN12," - ")</f>
        <v xml:space="preserve"> - </v>
      </c>
      <c r="AK12" s="334"/>
      <c r="AL12" s="479"/>
      <c r="AM12" s="335">
        <f>IF(ISNUMBER(Datos!R12),Datos!R12," - ")</f>
        <v>4720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217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0.61047254150702424</v>
      </c>
      <c r="BH12" s="260">
        <f>IF(ISNUMBER(((IF(J_V="SI",Datos!L12/Datos!K12,(Datos!L12+Datos!AB12)/(Datos!K12+Datos!AA12)))*11)/factor_trimestre),((IF(J_V="SI",Datos!L12/Datos!K12,(Datos!L12+Datos!AB12)/(Datos!K12+Datos!AA12)))*11)/factor_trimestre," - ")</f>
        <v>43.751046025104607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1.4181349376880103E-2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69</v>
      </c>
      <c r="G13" s="898">
        <f t="shared" si="0"/>
        <v>69</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47</v>
      </c>
      <c r="AD13" s="899">
        <f t="shared" si="1"/>
        <v>0</v>
      </c>
      <c r="AE13" s="899">
        <f t="shared" si="1"/>
        <v>0</v>
      </c>
      <c r="AF13" s="899">
        <f t="shared" si="1"/>
        <v>63</v>
      </c>
      <c r="AG13" s="899">
        <f t="shared" si="1"/>
        <v>0</v>
      </c>
      <c r="AH13" s="899">
        <f t="shared" si="1"/>
        <v>118</v>
      </c>
      <c r="AI13" s="899">
        <f t="shared" si="1"/>
        <v>0</v>
      </c>
      <c r="AJ13" s="899">
        <f t="shared" si="1"/>
        <v>0</v>
      </c>
      <c r="AK13" s="899">
        <f t="shared" si="1"/>
        <v>0</v>
      </c>
      <c r="AL13" s="899">
        <f t="shared" si="1"/>
        <v>0</v>
      </c>
      <c r="AM13" s="899">
        <f t="shared" si="1"/>
        <v>4733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v>
      </c>
      <c r="BD13" s="899">
        <f t="shared" si="1"/>
        <v>220</v>
      </c>
      <c r="BE13" s="899">
        <f t="shared" si="1"/>
        <v>0</v>
      </c>
      <c r="BF13" s="899">
        <f t="shared" si="1"/>
        <v>0</v>
      </c>
      <c r="BG13" s="899">
        <f>IF(ISNUMBER(Datos!K13/Datos!J13),Datos!K13/Datos!J13," - ")</f>
        <v>0.60629921259842523</v>
      </c>
      <c r="BH13" s="903">
        <f>IF(ISNUMBER(((Datos!L13/Datos!K13)*11)/factor_trimestre),((Datos!L13/Datos!K13)*11)/factor_trimestre," - ")</f>
        <v>44.909090909090907</v>
      </c>
      <c r="BI13" s="899">
        <f>IF(ISNUMBER('Resol  Asuntos'!D13/NºAsuntos!G13),'Resol  Asuntos'!D13/NºAsuntos!G13," - ")</f>
        <v>0.21810699588477367</v>
      </c>
      <c r="BJ13" s="899" t="str">
        <f>IF(ISNUMBER(Datos!CI13/Datos!CJ13),Datos!CI13/Datos!CJ13," - ")</f>
        <v xml:space="preserve"> - </v>
      </c>
      <c r="BK13" s="899">
        <f>SUBTOTAL(9,BK8:BK12)</f>
        <v>0</v>
      </c>
      <c r="BL13" s="899">
        <f>IF(ISNUMBER((I13-AB13+L13)/(F13)),(I13-AB13+L13)/(F13)," - ")</f>
        <v>-0.11594202898550725</v>
      </c>
      <c r="BM13" s="904">
        <f>SUBTOTAL(9,BM9:BM12)</f>
        <v>0.19599953119506192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4707</v>
      </c>
      <c r="G16" s="598">
        <f>IF(ISNUMBER(IF(D_I="SI",Datos!I16,Datos!I16+Datos!AC16)),IF(D_I="SI",Datos!I16,Datos!I16+Datos!AC16)," - ")</f>
        <v>4696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864</v>
      </c>
      <c r="AC16" s="226">
        <f>IF(ISNUMBER(Datos!Q16),Datos!Q16," - ")</f>
        <v>21</v>
      </c>
      <c r="AD16" s="334"/>
      <c r="AE16" s="484"/>
      <c r="AF16" s="596">
        <f>IF(ISNUMBER(IF(D_I="SI",Datos!L16,Datos!L16+Datos!AF16)),IF(D_I="SI",Datos!L16,Datos!L16+Datos!AF16)," - ")</f>
        <v>5205</v>
      </c>
      <c r="AG16" s="334"/>
      <c r="AH16" s="334"/>
      <c r="AI16" s="334"/>
      <c r="AJ16" s="334"/>
      <c r="AK16" s="334"/>
      <c r="AL16" s="479"/>
      <c r="AM16" s="335">
        <f>IF(ISNUMBER(Datos!R16),Datos!R16," - ")</f>
        <v>141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88</v>
      </c>
      <c r="BD16" s="229">
        <f>IF(ISNUMBER(Datos!N16),Datos!N16," - ")</f>
        <v>608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0.63436123348017626</v>
      </c>
      <c r="BH16" s="260">
        <f>IF(ISNUMBER(((IF(D_I="SI",Datos!L16/Datos!K16,(Datos!L16+Datos!AF16)/(Datos!K16+Datos!AE16)))*11)/factor_trimestre),((IF(D_I="SI",Datos!L16/Datos!K16,(Datos!L16+Datos!AF16)/(Datos!K16+Datos!AE16)))*11)/factor_trimestre," - ")</f>
        <v>18.072916666666668</v>
      </c>
      <c r="BI16" s="243">
        <f>IF(ISNUMBER('Resol  Asuntos'!D16/NºAsuntos!G16),'Resol  Asuntos'!D16/NºAsuntos!G16," - ")</f>
        <v>0.10185185185185185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0</v>
      </c>
      <c r="AD17" s="334"/>
      <c r="AE17" s="484"/>
      <c r="AF17" s="332">
        <f>IF(ISNUMBER(Datos!L17),Datos!L17,"-")</f>
        <v>127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1.7678571428571428</v>
      </c>
      <c r="BH17" s="260">
        <f>IF(ISNUMBER(((IF(D_I="SI",Datos!L17/Datos!K17,(Datos!L17+Datos!AF17)/(Datos!K17+Datos!AE17)))*11)/factor_trimestre),((IF(D_I="SI",Datos!L17/Datos!K17,(Datos!L17+Datos!AF17)/(Datos!K17+Datos!AE17)))*11)/factor_trimestre," - ")</f>
        <v>3.8484848484848486</v>
      </c>
      <c r="BI17" s="243">
        <f>IF(ISNUMBER('Resol  Asuntos'!D17/NºAsuntos!G17),'Resol  Asuntos'!D17/NºAsuntos!G17," - ")</f>
        <v>0.19191919191919191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4707</v>
      </c>
      <c r="G18" s="898">
        <f>SUBTOTAL(9,G15:G17)</f>
        <v>4866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963</v>
      </c>
      <c r="AC18" s="899">
        <f t="shared" si="4"/>
        <v>21</v>
      </c>
      <c r="AD18" s="899">
        <f t="shared" si="4"/>
        <v>0</v>
      </c>
      <c r="AE18" s="899">
        <f t="shared" si="4"/>
        <v>0</v>
      </c>
      <c r="AF18" s="899">
        <f t="shared" si="4"/>
        <v>5332</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685</v>
      </c>
      <c r="BE18" s="899">
        <f t="shared" si="4"/>
        <v>0</v>
      </c>
      <c r="BF18" s="899">
        <f t="shared" si="4"/>
        <v>0</v>
      </c>
      <c r="BG18" s="899">
        <f>IF(ISNUMBER(Datos!K18/Datos!J18),Datos!K18/Datos!J18," - ")</f>
        <v>0.67912552891396338</v>
      </c>
      <c r="BH18" s="903">
        <f>IF(ISNUMBER(((Datos!L18/Datos!K18)*11)/factor_trimestre),((Datos!L18/Datos!K18)*11)/factor_trimestre," - ")</f>
        <v>16.610591900311526</v>
      </c>
      <c r="BI18" s="899">
        <f>SUBTOTAL(9,BI15:BI17)</f>
        <v>0.29377104377104374</v>
      </c>
      <c r="BJ18" s="899">
        <f>SUBTOTAL(9,BJ15:BJ17)</f>
        <v>0</v>
      </c>
      <c r="BK18" s="899">
        <f>SUBTOTAL(9,BK15:BK17)</f>
        <v>0</v>
      </c>
      <c r="BL18" s="899">
        <f>IF(ISNUMBER((I18-AB18+L18)/(F18)),(I18-AB18+L18)/(F18)," - ")</f>
        <v>-0.2045889101338432</v>
      </c>
      <c r="BM18" s="905">
        <f>IF(ISNUMBER((Datos!P18-Datos!Q18)/(Datos!R18-Datos!P18+Datos!Q18)),(Datos!P18-Datos!Q18)/(Datos!R18-Datos!P18+Datos!Q18)," - ")</f>
        <v>-4.72972972972973E-2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4776</v>
      </c>
      <c r="G19" s="820">
        <f t="shared" si="6"/>
        <v>4935</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971</v>
      </c>
      <c r="AC19" s="821">
        <f t="shared" si="7"/>
        <v>68</v>
      </c>
      <c r="AD19" s="821">
        <f t="shared" si="7"/>
        <v>0</v>
      </c>
      <c r="AE19" s="821">
        <f t="shared" si="7"/>
        <v>0</v>
      </c>
      <c r="AF19" s="828">
        <f t="shared" si="7"/>
        <v>5395</v>
      </c>
      <c r="AG19" s="828">
        <f t="shared" si="7"/>
        <v>0</v>
      </c>
      <c r="AH19" s="828">
        <f t="shared" si="7"/>
        <v>118</v>
      </c>
      <c r="AI19" s="828">
        <f t="shared" si="7"/>
        <v>0</v>
      </c>
      <c r="AJ19" s="821">
        <f t="shared" si="7"/>
        <v>0</v>
      </c>
      <c r="AK19" s="828">
        <f t="shared" si="7"/>
        <v>0</v>
      </c>
      <c r="AL19" s="828">
        <f t="shared" si="7"/>
        <v>0</v>
      </c>
      <c r="AM19" s="828">
        <f t="shared" si="7"/>
        <v>4874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213</v>
      </c>
      <c r="BD19" s="820">
        <f t="shared" si="7"/>
        <v>905</v>
      </c>
      <c r="BE19" s="820">
        <f t="shared" si="7"/>
        <v>0</v>
      </c>
      <c r="BF19" s="830">
        <f t="shared" si="7"/>
        <v>0</v>
      </c>
      <c r="BG19" s="915">
        <f>IF(ISNUMBER(Datos!K19/Datos!J19),Datos!K19/Datos!J19," - ")</f>
        <v>0.65366972477064222</v>
      </c>
      <c r="BH19" s="915">
        <f>IF(ISNUMBER(((Datos!L19/Datos!K19)*11)/factor_trimestre),((Datos!L19/Datos!K19)*11)/factor_trimestre," - ")</f>
        <v>25.785263157894736</v>
      </c>
      <c r="BI19" s="813">
        <f>IF(ISNUMBER(Datos!J19/Datos!I19),Datos!J19/Datos!I19," - ")</f>
        <v>0.19032652348524534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-0.20330820770519262</v>
      </c>
      <c r="BM19" s="889">
        <f>IF(ISNUMBER((Datos!P19-Datos!Q19+R19)/(Datos!R19-Datos!P19+Datos!Q19-R19)),(Datos!P19-Datos!Q19+R19)/(Datos!R19-Datos!P19+Datos!Q19-R19)," - ")</f>
        <v>1.2674007895283607E-2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2677.7505485014844</v>
      </c>
      <c r="G21" s="552">
        <f>IF(ISNUMBER(STDEV(G8:G18)),STDEV(G8:G18),"-")</f>
        <v>2563.4651353197687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482.05839895182822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47.673892226248952</v>
      </c>
      <c r="BD21" s="551"/>
      <c r="BE21" s="551">
        <f>IF(ISNUMBER(STDEV(BE8:BE18)),STDEV(BE8:BE18),"-")</f>
        <v>0</v>
      </c>
      <c r="BF21" s="556">
        <f>IF(ISNUMBER(STDEV(BF8:BF18)),STDEV(BF8:BF18),"-")</f>
        <v>0</v>
      </c>
      <c r="BG21" s="775">
        <f>IF(ISNUMBER(STDEV(BG8:BG18)),STDEV(BG8:BG18),"-")</f>
        <v>1.3603504018625099</v>
      </c>
      <c r="BH21" s="776">
        <f>IF(ISNUMBER(STDEV(BH8:BH18)),STDEV(BH8:BH18),"-")</f>
        <v>16.220395890167538</v>
      </c>
      <c r="BI21" s="249">
        <f>IF(ISNUMBER(STDEV(BI8:BI18)),STDEV(BI8:BI18),"-")</f>
        <v>7.9185967524010498E-2</v>
      </c>
      <c r="BJ21" s="230" t="str">
        <f>IF(ISNUMBER(BL21/BM21),BL21/BM21," - ")</f>
        <v xml:space="preserve"> - </v>
      </c>
      <c r="BK21" s="575"/>
      <c r="BL21" s="559">
        <f>IF(ISNUMBER(STDEV(BL8:BL18)),STDEV(BL8:BL18),"-")</f>
        <v>6.2682810791026319E-2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ACakjBJNimgPuPo9o9NgOL4A1y9VTLTYBMwnps+2emw1XyWVcoqpdlyhH+po980lZKjam2cz+4HYoO4gcy8Xg==" saltValue="WHtMZTfndM3YLKuARxbe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69</v>
      </c>
      <c r="G10" s="225">
        <f>IF(ISNUMBER(Datos!I10),Datos!I10," - ")</f>
        <v>69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63</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4720</v>
      </c>
      <c r="AF12" s="229" t="str">
        <f>IF(ISNUMBER(Datos!BV12),Datos!BV12," - ")</f>
        <v xml:space="preserve"> - </v>
      </c>
      <c r="AG12" s="225" t="str">
        <f>IF(ISNUMBER(Datos!DV12),Datos!DV12," - ")</f>
        <v xml:space="preserve"> - </v>
      </c>
      <c r="AH12" s="298"/>
      <c r="AI12" s="227"/>
      <c r="AJ12" s="225">
        <f>IF(ISNUMBER(Datos!M12),Datos!M12," - ")</f>
        <v>104</v>
      </c>
      <c r="AK12" s="229">
        <f>IF(ISNUMBER(Datos!N12),Datos!N12," - ")</f>
        <v>217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43.751046025104607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1.4181349376880103E-2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69</v>
      </c>
      <c r="G13" s="898">
        <f>SUBTOTAL(9,G8:G12)</f>
        <v>69</v>
      </c>
      <c r="H13" s="908"/>
      <c r="I13" s="898">
        <f t="shared" ref="I13:N13" si="0">SUBTOTAL(9,I8:I12)</f>
        <v>0</v>
      </c>
      <c r="J13" s="867">
        <f t="shared" si="0"/>
        <v>0</v>
      </c>
      <c r="K13" s="908">
        <f t="shared" si="0"/>
        <v>0</v>
      </c>
      <c r="L13" s="908">
        <f t="shared" si="0"/>
        <v>0</v>
      </c>
      <c r="M13" s="908">
        <f t="shared" si="0"/>
        <v>0</v>
      </c>
      <c r="N13" s="908">
        <f t="shared" si="0"/>
        <v>115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47</v>
      </c>
      <c r="AA13" s="900">
        <f t="shared" si="2"/>
        <v>63</v>
      </c>
      <c r="AB13" s="900">
        <f t="shared" si="2"/>
        <v>0</v>
      </c>
      <c r="AC13" s="900">
        <f t="shared" si="2"/>
        <v>0</v>
      </c>
      <c r="AD13" s="900">
        <f t="shared" si="2"/>
        <v>0</v>
      </c>
      <c r="AE13" s="900">
        <f t="shared" si="2"/>
        <v>4733</v>
      </c>
      <c r="AF13" s="908">
        <f t="shared" si="2"/>
        <v>0</v>
      </c>
      <c r="AG13" s="908">
        <f t="shared" si="2"/>
        <v>0</v>
      </c>
      <c r="AH13" s="908">
        <f t="shared" si="2"/>
        <v>0</v>
      </c>
      <c r="AI13" s="908">
        <f t="shared" si="2"/>
        <v>0</v>
      </c>
      <c r="AJ13" s="908">
        <f t="shared" si="2"/>
        <v>106</v>
      </c>
      <c r="AK13" s="908">
        <f t="shared" si="2"/>
        <v>220</v>
      </c>
      <c r="AL13" s="908">
        <f t="shared" si="2"/>
        <v>0</v>
      </c>
      <c r="AM13" s="908">
        <f t="shared" si="2"/>
        <v>0</v>
      </c>
      <c r="AN13" s="908">
        <f t="shared" si="2"/>
        <v>0</v>
      </c>
      <c r="AO13" s="904">
        <f>IF(ISNUMBER(((NºAsuntos!I13/NºAsuntos!G13)*11)/factor_trimestre),((NºAsuntos!I13/NºAsuntos!G13)*11)/factor_trimestre," - ")</f>
        <v>43.41975308641976</v>
      </c>
      <c r="AP13" s="910" t="str">
        <f>IF(ISNUMBER(Datos!CI13/Datos!CJ13),Datos!CI13/Datos!CJ13," - ")</f>
        <v xml:space="preserve"> - </v>
      </c>
      <c r="AQ13" s="928">
        <f t="shared" ref="AQ13:AV13" si="3">SUBTOTAL(9,AQ9:AQ12)</f>
        <v>0</v>
      </c>
      <c r="AR13" s="928">
        <f t="shared" si="3"/>
        <v>0.19599953119506192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4707</v>
      </c>
      <c r="G16" s="225">
        <f>IF(ISNUMBER(IF(D_I="SI",Datos!I16,Datos!I16+Datos!AC16)),IF(D_I="SI",Datos!I16,Datos!I16+Datos!AC16)," - ")</f>
        <v>4696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864</v>
      </c>
      <c r="Z16" s="619">
        <f>IF(ISNUMBER(Datos!Q16),Datos!Q16," - ")</f>
        <v>21</v>
      </c>
      <c r="AA16" s="332">
        <f>IF(ISNUMBER(IF(D_I="SI",Datos!L16,Datos!L16+Datos!AF16)),IF(D_I="SI",Datos!L16,Datos!L16+Datos!AF16)," - ")</f>
        <v>5205</v>
      </c>
      <c r="AB16" s="334"/>
      <c r="AC16" s="334"/>
      <c r="AD16" s="484"/>
      <c r="AE16" s="484">
        <f>IF(ISNUMBER(Datos!R16),Datos!R16," - ")</f>
        <v>141</v>
      </c>
      <c r="AF16" s="229" t="str">
        <f>IF(ISNUMBER(Datos!BV16),Datos!BV16," - ")</f>
        <v xml:space="preserve"> - </v>
      </c>
      <c r="AG16" s="225"/>
      <c r="AH16" s="298"/>
      <c r="AI16" s="227"/>
      <c r="AJ16" s="225">
        <f>IF(ISNUMBER(Datos!M16),Datos!M16," - ")</f>
        <v>88</v>
      </c>
      <c r="AK16" s="229">
        <f>IF(ISNUMBER(Datos!N16),Datos!N16," - ")</f>
        <v>608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18.072916666666668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0</v>
      </c>
      <c r="AA17" s="332">
        <f>IF(ISNUMBER(Datos!L17),Datos!L17,"-")</f>
        <v>127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19</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3.8484848484848486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4707</v>
      </c>
      <c r="G18" s="898">
        <f>SUBTOTAL(9,G15:G17)</f>
        <v>4866</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963</v>
      </c>
      <c r="Z18" s="932">
        <f t="shared" si="5"/>
        <v>21</v>
      </c>
      <c r="AA18" s="932">
        <f t="shared" si="5"/>
        <v>5332</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107</v>
      </c>
      <c r="AK18" s="932">
        <f t="shared" si="5"/>
        <v>685</v>
      </c>
      <c r="AL18" s="932">
        <f t="shared" si="5"/>
        <v>0</v>
      </c>
      <c r="AM18" s="932">
        <f t="shared" si="5"/>
        <v>0</v>
      </c>
      <c r="AN18" s="932">
        <f t="shared" si="5"/>
        <v>0</v>
      </c>
      <c r="AO18" s="934">
        <f>IF(ISNUMBER(((NºAsuntos!I18/NºAsuntos!G18)*11)/factor_trimestre),((NºAsuntos!I18/NºAsuntos!G18)*11)/factor_trimestre," - ")</f>
        <v>16.610591900311526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4776</v>
      </c>
      <c r="G19" s="820">
        <f t="shared" si="7"/>
        <v>4935</v>
      </c>
      <c r="H19" s="821">
        <f t="shared" si="7"/>
        <v>0</v>
      </c>
      <c r="I19" s="820">
        <f t="shared" si="7"/>
        <v>0</v>
      </c>
      <c r="J19" s="822">
        <f t="shared" si="7"/>
        <v>0</v>
      </c>
      <c r="K19" s="820">
        <f t="shared" si="7"/>
        <v>0</v>
      </c>
      <c r="L19" s="823">
        <f t="shared" si="7"/>
        <v>0</v>
      </c>
      <c r="M19" s="820">
        <f t="shared" si="7"/>
        <v>0</v>
      </c>
      <c r="N19" s="821">
        <f t="shared" si="7"/>
        <v>129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971</v>
      </c>
      <c r="Z19" s="827">
        <f t="shared" si="8"/>
        <v>68</v>
      </c>
      <c r="AA19" s="828">
        <f t="shared" si="8"/>
        <v>5395</v>
      </c>
      <c r="AB19" s="828">
        <f t="shared" si="8"/>
        <v>0</v>
      </c>
      <c r="AC19" s="828">
        <f t="shared" si="8"/>
        <v>0</v>
      </c>
      <c r="AD19" s="829">
        <f t="shared" si="8"/>
        <v>0</v>
      </c>
      <c r="AE19" s="829">
        <f t="shared" si="8"/>
        <v>4874</v>
      </c>
      <c r="AF19" s="830">
        <f t="shared" si="8"/>
        <v>0</v>
      </c>
      <c r="AG19" s="831">
        <f t="shared" si="8"/>
        <v>0</v>
      </c>
      <c r="AH19" s="832">
        <f t="shared" si="8"/>
        <v>0</v>
      </c>
      <c r="AI19" s="830">
        <f t="shared" si="8"/>
        <v>0</v>
      </c>
      <c r="AJ19" s="820">
        <f t="shared" si="8"/>
        <v>213</v>
      </c>
      <c r="AK19" s="820">
        <f t="shared" si="8"/>
        <v>905</v>
      </c>
      <c r="AL19" s="820">
        <f t="shared" si="8"/>
        <v>0</v>
      </c>
      <c r="AM19" s="833">
        <f t="shared" si="8"/>
        <v>0</v>
      </c>
      <c r="AN19" s="823">
        <f>IF(ISNUMBER(Datos!K19/Datos!J19),Datos!K19/Datos!J19," - ")</f>
        <v>0.65366972477064222</v>
      </c>
      <c r="AO19" s="823">
        <f>IF(ISNUMBER(FIND("06",Criterios!A8,1)),(IF(ISNUMBER(((Datos!R19/Datos!Q19)*11)/factor_trimestre),((Datos!R19/Datos!Q19)*11)/factor_trimestre," - ")),(IF(ISNUMBER(((Datos!L19/Datos!K19)*11)/factor_trimestre),((Datos!L19/Datos!K19)*11)/factor_trimestre," - ")))</f>
        <v>25.785263157894736</v>
      </c>
      <c r="AP19" s="834" t="str">
        <f>IF(ISNUMBER(Datos!CI19/Datos!CJ19),Datos!CI19/Datos!CJ19," - ")</f>
        <v xml:space="preserve"> - </v>
      </c>
      <c r="AQ19" s="834">
        <f>IF(OR(ISNUMBER(FIND("01",Criterios!A8,1)),ISNUMBER(FIND("02",Criterios!A8,1)),ISNUMBER(FIND("03",Criterios!A8,1)),ISNUMBER(FIND("04",Criterios!A8,1))),(J19-Y19+K19)/(F19-K19),(I19-Y19+K19)/(F19-K19))</f>
        <v>-0.20330820770519262</v>
      </c>
      <c r="AR19" s="834">
        <f>IF(ISNUMBER((Datos!P19-Datos!Q19+O19)/(Datos!R19-Datos!P19+Datos!Q19-O19)),(Datos!P19-Datos!Q19+O19)/(Datos!R19-Datos!P19+Datos!Q19-O19)," - ")</f>
        <v>1.2674007895283607E-2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2677.7505485014844</v>
      </c>
      <c r="G21" s="552">
        <f>IF(ISNUMBER(STDEV(G8:G18)),STDEV(G8:G18),"-")</f>
        <v>2563.4651353197687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47.673892226248952</v>
      </c>
      <c r="AK21" s="252"/>
      <c r="AL21" s="252">
        <f>IF(ISNUMBER(STDEV(AL8:AL18)),STDEV(AL8:AL18),"-")</f>
        <v>0</v>
      </c>
      <c r="AM21" s="254">
        <f>IF(ISNUMBER(STDEV(AM8:AM18)),STDEV(AM8:AM18),"-")</f>
        <v>0</v>
      </c>
      <c r="AN21" s="539">
        <f>IF(ISNUMBER(STDEV(AN8:AN18)),STDEV(AN8:AN18),"-")</f>
        <v>0</v>
      </c>
      <c r="AO21" s="540">
        <f>IF(ISNUMBER(STDEV(AO8:AO18)),STDEV(AO8:AO18),"-")</f>
        <v>15.864788623199304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GMUUIHTeRj0OnQU42x5nEt+Ght0R6em5gyRn6Odlii1v1NOmsoOwGUGvvkCJflo0gi57/zVDorI/NlJMnx/iQ==" saltValue="B8l5eRGs4c/4xNv3yAV/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8txgHJnlGC6A+uADnM707du9YzhccqSijV9JxWN5K2eoDIuMHi/eo2B/H0lBRn8OQG7kIXwFe+/7YcyVQ7ajg==" saltValue="4Xv03ZgtnPBGurJ3sLsB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4HpssOBgXz8C4X+CIvzQu4daMEZEMbIkpHrLM3m6VNoD1RIhG9ohSRqtxAPOE3GXvj+E5Qn5cfaXhEIWFzdA==" saltValue="IXtRG+60tVhuWJ42RYc8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0.21810699588477367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0.15422493581434987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AmSxlC8WWcyw7WKegXtW1yQB3t9slUESikBEw5O5AzZtGa8Er7B37q922tfppUkvikq2Ad6IqIpDa0KjHPtLQ==" saltValue="iPDuOEI3yj+9dPVjcbMQ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wNQiXhVQvvjhG1mHfmIXz6tskIvPgfWS+H8H6X7UtyD/i2YuEn3/xS3dErc3AMF1JoKsgm6KpeyRFXepmTpsg==" saltValue="TlTKuJqc/6qzpngp5NX2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LORA DEL RIO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69</v>
      </c>
      <c r="D10" s="404">
        <f>IF(ISNUMBER(C10/Datos!BH10),C10/Datos!BH10," - ")</f>
        <v>69</v>
      </c>
      <c r="E10" s="403">
        <f>IF(ISNUMBER(Datos!J10),Datos!J10," - ")</f>
        <v>2</v>
      </c>
      <c r="F10" s="404">
        <f>IF(ISNUMBER(E10/B10),E10/B10," - ")</f>
        <v>2</v>
      </c>
      <c r="G10" s="403">
        <f>IF(ISNUMBER(Datos!K10),Datos!K10," - ")</f>
        <v>8</v>
      </c>
      <c r="H10" s="404">
        <f>IF(ISNUMBER(G10/B10),G10/B10," - ")</f>
        <v>8</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6638</v>
      </c>
      <c r="D12" s="404">
        <f>IF(ISNUMBER(C12/Datos!BH12),C12/Datos!BH12," - ")</f>
        <v>2212.6666666666665</v>
      </c>
      <c r="E12" s="403">
        <f>IF(ISNUMBER(IF(J_V="SI",Datos!J12,Datos!J12+Datos!Z12)),IF(J_V="SI",Datos!J12,Datos!J12+Datos!Z12)," - ")</f>
        <v>783</v>
      </c>
      <c r="F12" s="404">
        <f>IF(ISNUMBER(E12/B12),E12/B12," - ")</f>
        <v>261</v>
      </c>
      <c r="G12" s="403">
        <f>IF(ISNUMBER(IF(J_V="SI",Datos!K12,Datos!K12+Datos!AA12)),IF(J_V="SI",Datos!K12,Datos!K12+Datos!AA12)," - ")</f>
        <v>478</v>
      </c>
      <c r="H12" s="404">
        <f>IF(ISNUMBER(G12/B12),G12/B12," - ")</f>
        <v>159.33333333333334</v>
      </c>
      <c r="I12" s="403">
        <f>IF(ISNUMBER(IF(J_V="SI",Datos!L12,Datos!L12+Datos!AB12)),IF(J_V="SI",Datos!L12,Datos!L12+Datos!AB12)," - ")</f>
        <v>6971</v>
      </c>
      <c r="J12" s="404">
        <f>IF(ISNUMBER(I12/B12),I12/B12," - ")</f>
        <v>2323.6666666666665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6707</v>
      </c>
      <c r="D13" s="850" t="str">
        <f>IF(ISNUMBER(C13/Datos!BI13),C13/Datos!BI13," - ")</f>
        <v xml:space="preserve"> - </v>
      </c>
      <c r="E13" s="849">
        <f>SUBTOTAL(9,E8:E12)</f>
        <v>785</v>
      </c>
      <c r="F13" s="850">
        <f>IF(ISNUMBER(E13/B13),E13/B13," - ")</f>
        <v>261.66666666666669</v>
      </c>
      <c r="G13" s="849">
        <f>SUBTOTAL(9,G8:G12)</f>
        <v>486</v>
      </c>
      <c r="H13" s="850">
        <f>IF(ISNUMBER(G13/B13),G13/B13," - ")</f>
        <v>162</v>
      </c>
      <c r="I13" s="849">
        <f>SUBTOTAL(9,I8:I12)</f>
        <v>7034</v>
      </c>
      <c r="J13" s="850">
        <f>IF(ISNUMBER(I13/B13),I13/B13," - ")</f>
        <v>2344.6666666666665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4696</v>
      </c>
      <c r="D16" s="404">
        <f>IF(ISNUMBER(C16/Datos!BH16),C16/Datos!BH16," - ")</f>
        <v>1565.3333333333333</v>
      </c>
      <c r="E16" s="403">
        <f>IF(ISNUMBER(IF(D_I="SI",Datos!J16,Datos!J16+Datos!AD16)),IF(D_I="SI",Datos!J16,Datos!J16+Datos!AD16)," - ")</f>
        <v>1362</v>
      </c>
      <c r="F16" s="404">
        <f>IF(ISNUMBER(E16/B16),E16/B16," - ")</f>
        <v>454</v>
      </c>
      <c r="G16" s="403">
        <f>IF(ISNUMBER(IF(D_I="SI",Datos!K16,Datos!K16+Datos!AE16)),IF(D_I="SI",Datos!K16,Datos!K16+Datos!AE16)," - ")</f>
        <v>864</v>
      </c>
      <c r="H16" s="404">
        <f>IF(ISNUMBER(G16/B16),G16/B16," - ")</f>
        <v>288</v>
      </c>
      <c r="I16" s="403">
        <f>IF(ISNUMBER(IF(D_I="SI",Datos!L16,Datos!L16+Datos!AF16)),IF(D_I="SI",Datos!L16,Datos!L16+Datos!AF16)," - ")</f>
        <v>5205</v>
      </c>
      <c r="J16" s="404">
        <f>IF(ISNUMBER(I16/B16),I16/B16," - ")</f>
        <v>1735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170</v>
      </c>
      <c r="D17" s="404">
        <f>IF(ISNUMBER(C17/Datos!BH17),C17/Datos!BH17," - ")</f>
        <v>170</v>
      </c>
      <c r="E17" s="403">
        <f>IF(ISNUMBER(IF(D_I="SI",Datos!J17,Datos!J17+Datos!AD17)),IF(D_I="SI",Datos!J17,Datos!J17+Datos!AD17)," - ")</f>
        <v>56</v>
      </c>
      <c r="F17" s="404">
        <f>IF(ISNUMBER(E17/B17),E17/B17," - ")</f>
        <v>56</v>
      </c>
      <c r="G17" s="403">
        <f>IF(ISNUMBER(IF(D_I="SI",Datos!K17,Datos!K17+Datos!AE17)),IF(D_I="SI",Datos!K17,Datos!K17+Datos!AE17)," - ")</f>
        <v>99</v>
      </c>
      <c r="H17" s="404">
        <f>IF(ISNUMBER(G17/B17),G17/B17," - ")</f>
        <v>99</v>
      </c>
      <c r="I17" s="403">
        <f>IF(ISNUMBER(IF(D_I="SI",Datos!L17,Datos!L17+Datos!AF17)),IF(D_I="SI",Datos!L17,Datos!L17+Datos!AF17)," - ")</f>
        <v>127</v>
      </c>
      <c r="J17" s="404">
        <f>IF(ISNUMBER(I17/B17),I17/B17," - ")</f>
        <v>127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4866</v>
      </c>
      <c r="D18" s="850" t="str">
        <f>IF(ISNUMBER(C18/Datos!BI18),C18/Datos!BI18," - ")</f>
        <v xml:space="preserve"> - </v>
      </c>
      <c r="E18" s="849">
        <f>SUBTOTAL(9,E14:E17)</f>
        <v>1418</v>
      </c>
      <c r="F18" s="850">
        <f>IF(ISNUMBER(E18/B18),E18/B18," - ")</f>
        <v>472.66666666666669</v>
      </c>
      <c r="G18" s="849">
        <f>SUBTOTAL(9,G14:G17)</f>
        <v>963</v>
      </c>
      <c r="H18" s="850">
        <f>IF(ISNUMBER(G18/B18),G18/B18," - ")</f>
        <v>321</v>
      </c>
      <c r="I18" s="849">
        <f>SUBTOTAL(9,I14:I17)</f>
        <v>5332</v>
      </c>
      <c r="J18" s="850">
        <f>IF(ISNUMBER(I18/B18),I18/B18," - ")</f>
        <v>1777.3333333333333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11573</v>
      </c>
      <c r="D19" s="795" t="str">
        <f>IF(ISNUMBER(C19/Datos!BI19),C19/Datos!BI19," - ")</f>
        <v xml:space="preserve"> - </v>
      </c>
      <c r="E19" s="794">
        <f>SUBTOTAL(9,E9:E18)</f>
        <v>2203</v>
      </c>
      <c r="F19" s="795">
        <f>IF(ISNUMBER(E19/B19),E19/B19," - ")</f>
        <v>734.33333333333337</v>
      </c>
      <c r="G19" s="794">
        <f>SUBTOTAL(9,G9:G18)</f>
        <v>1449</v>
      </c>
      <c r="H19" s="795">
        <f>IF(ISNUMBER(G19/B19),G19/B19," - ")</f>
        <v>483</v>
      </c>
      <c r="I19" s="794">
        <f>SUBTOTAL(9,I9:I18)</f>
        <v>12366</v>
      </c>
      <c r="J19" s="795">
        <f>IF(ISNUMBER(I19/B19),I19/B19," - ")</f>
        <v>4122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2sr8T8UX5ybAClgZdT/Mt7DOcLm6AD82zQE8OEvf0QZ8cqJdrC5XspKw3k16ix3QPPiNNlFm2UxiOOx2DSXAQ==" saltValue="cwYRq2K8OpjyekG1sf1i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69</v>
      </c>
      <c r="G10" s="684">
        <f>IF(ISNUMBER(Datos!I10),Datos!I10," - ")</f>
        <v>69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23.625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217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43.751046025104607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1.4181349376880103E-2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69</v>
      </c>
      <c r="G13" s="938">
        <f t="shared" si="0"/>
        <v>69</v>
      </c>
      <c r="H13" s="938">
        <f t="shared" si="0"/>
        <v>0</v>
      </c>
      <c r="I13" s="940">
        <f t="shared" si="0"/>
        <v>0</v>
      </c>
      <c r="J13" s="939">
        <f t="shared" si="0"/>
        <v>0</v>
      </c>
      <c r="K13" s="939">
        <f t="shared" si="0"/>
        <v>0</v>
      </c>
      <c r="L13" s="941">
        <f t="shared" si="0"/>
        <v>0</v>
      </c>
      <c r="M13" s="941">
        <f t="shared" si="0"/>
        <v>0</v>
      </c>
      <c r="N13" s="939">
        <f t="shared" si="0"/>
        <v>115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46</v>
      </c>
      <c r="AE13" s="939">
        <f t="shared" si="1"/>
        <v>0</v>
      </c>
      <c r="AF13" s="939">
        <f t="shared" si="1"/>
        <v>63</v>
      </c>
      <c r="AG13" s="939">
        <f t="shared" si="1"/>
        <v>0</v>
      </c>
      <c r="AH13" s="939">
        <f t="shared" si="1"/>
        <v>4720</v>
      </c>
      <c r="AI13" s="939">
        <f t="shared" si="1"/>
        <v>0</v>
      </c>
      <c r="AJ13" s="939">
        <f t="shared" si="1"/>
        <v>0</v>
      </c>
      <c r="AK13" s="939">
        <f t="shared" si="1"/>
        <v>0</v>
      </c>
      <c r="AL13" s="939">
        <f t="shared" si="1"/>
        <v>106</v>
      </c>
      <c r="AM13" s="939">
        <f t="shared" si="1"/>
        <v>220</v>
      </c>
      <c r="AN13" s="939">
        <f t="shared" si="1"/>
        <v>0</v>
      </c>
      <c r="AO13" s="939">
        <f t="shared" si="1"/>
        <v>0</v>
      </c>
      <c r="AP13" s="944">
        <f>IF(ISNUMBER(((Datos!L13/Datos!K13)*11)/factor_trimestre),((Datos!L13/Datos!K13)*11)/factor_trimestre," - ")</f>
        <v>44.909090909090907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-0.11594202898550725</v>
      </c>
      <c r="AU13" s="939" t="str">
        <f>IF(ISNUMBER((DatosP!#REF!-DatosP!#REF!+DatosP!#REF!)/(DatosP!#REF!+DatosP!#REF!-DatosP!#REF!-DatosP!#REF!)),(DatosP!#REF!-DatosP!#REF!+DatosP!#REF!)/(DatosP!#REF!+DatosP!#REF!-DatosP!#REF!-DatosP!#REF!)," - ")</f>
        <v xml:space="preserve"> - </v>
      </c>
      <c r="AV13" s="945">
        <f>SUBTOTAL(9,AV9:AV12)</f>
        <v>1.4181349376880103E-2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16.610591900311526</v>
      </c>
      <c r="AQ18" s="944">
        <f>IF(ISNUMBER(((Datos!M18/Datos!L18)*11)/factor_trimestre),((Datos!M18/Datos!L18)*11)/factor_trimestre," - ")</f>
        <v>6.0202550637659419E-2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-4.72972972972973E-2</v>
      </c>
      <c r="AW18" s="946">
        <f>IF(ISNUMBER((Datos!Q18-Datos!R18)/(Datos!S18-Datos!Q18+Datos!R18)),(Datos!Q18-Datos!R18)/(Datos!S18-Datos!Q18+Datos!R18)," - ")</f>
        <v>-2.4266936299292215E-2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69</v>
      </c>
      <c r="G19" s="951">
        <f t="shared" si="4"/>
        <v>69</v>
      </c>
      <c r="H19" s="951">
        <f t="shared" si="4"/>
        <v>0</v>
      </c>
      <c r="I19" s="952">
        <f t="shared" si="4"/>
        <v>0</v>
      </c>
      <c r="J19" s="953">
        <f t="shared" si="4"/>
        <v>0</v>
      </c>
      <c r="K19" s="953">
        <f t="shared" si="4"/>
        <v>0</v>
      </c>
      <c r="L19" s="953">
        <f t="shared" si="4"/>
        <v>0</v>
      </c>
      <c r="M19" s="953">
        <f t="shared" si="4"/>
        <v>0</v>
      </c>
      <c r="N19" s="952">
        <f t="shared" si="4"/>
        <v>115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46</v>
      </c>
      <c r="AE19" s="957">
        <f t="shared" si="5"/>
        <v>0</v>
      </c>
      <c r="AF19" s="958">
        <f t="shared" si="5"/>
        <v>63</v>
      </c>
      <c r="AG19" s="958">
        <f t="shared" si="5"/>
        <v>0</v>
      </c>
      <c r="AH19" s="958">
        <f t="shared" si="5"/>
        <v>4720</v>
      </c>
      <c r="AI19" s="958">
        <f t="shared" si="5"/>
        <v>0</v>
      </c>
      <c r="AJ19" s="959">
        <f t="shared" si="5"/>
        <v>0</v>
      </c>
      <c r="AK19" s="959">
        <f t="shared" si="5"/>
        <v>0</v>
      </c>
      <c r="AL19" s="951">
        <f t="shared" si="5"/>
        <v>106</v>
      </c>
      <c r="AM19" s="951">
        <f t="shared" si="5"/>
        <v>220</v>
      </c>
      <c r="AN19" s="951">
        <f t="shared" si="5"/>
        <v>0</v>
      </c>
      <c r="AO19" s="951">
        <f t="shared" si="5"/>
        <v>0</v>
      </c>
      <c r="AP19" s="951">
        <f>IF(ISNUMBER(((Datos!L19/Datos!K19)*11)/factor_trimestre),((Datos!L19/Datos!K19)*11)/factor_trimestre," - ")</f>
        <v>25.785263157894736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-0.11594202898550725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1.2674007895283607E-2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39.837168574084181</v>
      </c>
      <c r="G21" s="737">
        <f>IF(ISNUMBER(STDEV(G8:G18)),STDEV(G8:G18),"-")</f>
        <v>39.837168574084181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60.055529859178385</v>
      </c>
      <c r="AM21" s="736"/>
      <c r="AN21" s="736">
        <f>IF(ISNUMBER(STDEV(AN8:AN18)),STDEV(AN8:AN18),"-")</f>
        <v>0</v>
      </c>
      <c r="AO21" s="742">
        <f>IF(ISNUMBER(STDEV(AO8:AO18)),STDEV(AO8:AO18),"-")</f>
        <v>0</v>
      </c>
      <c r="AP21" s="779">
        <f>IF(ISNUMBER(STDEV(AP8:AP18)),STDEV(AP8:AP18),"-")</f>
        <v>14.277086945006381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p/EgIorbef9mnxOiX7QHr3fLAGlFalhs/y7na3QV20caPEtJBsMG3RLJ0Ni/BG6fOcwAWwvpCbHm+rzf4w53A==" saltValue="NYv5BjdEPGpMiFDlgaZa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H2ZQgdB85WYMbaf9MdJZaZEqRVcIZsuCNMSDlr8TpKqtkOSCfXOdb2/Umr+C1d5pILOfLHJVbNud0Zbvru4IQ==" saltValue="RLVb0LBTlTSxU17csZ5g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LORA DEL RIO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104</v>
      </c>
      <c r="E12" s="404">
        <f t="shared" si="0"/>
        <v>34.666666666666664</v>
      </c>
      <c r="F12" s="403">
        <f>IF(ISNUMBER(Datos!N12),Datos!N12," - ")</f>
        <v>217</v>
      </c>
      <c r="G12" s="404">
        <f t="shared" si="1"/>
        <v>72.333333333333329</v>
      </c>
      <c r="H12" s="403">
        <f>IF(ISNUMBER(Datos!O12),Datos!O12," - ")</f>
        <v>193</v>
      </c>
      <c r="I12" s="404">
        <f t="shared" si="2"/>
        <v>64.333333333333329</v>
      </c>
      <c r="BZ12" s="1186">
        <f>Datos!EZ12</f>
        <v>0</v>
      </c>
    </row>
    <row r="13" spans="1:78" ht="14.25" thickTop="1" thickBot="1">
      <c r="A13" s="848" t="str">
        <f>Datos!A13</f>
        <v>TOTAL</v>
      </c>
      <c r="B13" s="849">
        <f>Datos!AP13</f>
        <v>3</v>
      </c>
      <c r="C13" s="851">
        <f>Datos!AR13</f>
        <v>3</v>
      </c>
      <c r="D13" s="849">
        <f>SUBTOTAL(9,D9:D12)</f>
        <v>106</v>
      </c>
      <c r="E13" s="850">
        <f t="shared" si="0"/>
        <v>35.333333333333336</v>
      </c>
      <c r="F13" s="849">
        <f>SUBTOTAL(9,F9:F12)</f>
        <v>220</v>
      </c>
      <c r="G13" s="850">
        <f t="shared" si="1"/>
        <v>73.333333333333329</v>
      </c>
      <c r="H13" s="849">
        <f>SUBTOTAL(9,H9:H12)</f>
        <v>193</v>
      </c>
      <c r="I13" s="850">
        <f>IF(ISNUMBER(H13/B13),H13/B13," - ")</f>
        <v>64.333333333333329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88</v>
      </c>
      <c r="E16" s="404">
        <f t="shared" si="3"/>
        <v>29.333333333333332</v>
      </c>
      <c r="F16" s="403">
        <f>IF(ISNUMBER(Datos!N16),Datos!N16," - ")</f>
        <v>608</v>
      </c>
      <c r="G16" s="404">
        <f t="shared" si="4"/>
        <v>202.66666666666666</v>
      </c>
      <c r="H16" s="403">
        <f>IF(ISNUMBER(Datos!O16),Datos!O16," - ")</f>
        <v>13</v>
      </c>
      <c r="I16" s="404">
        <f t="shared" si="5"/>
        <v>4.333333333333333</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77</v>
      </c>
      <c r="G17" s="404">
        <f>IF(ISNUMBER(F17/B17),F17/B17," - ")</f>
        <v>77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107</v>
      </c>
      <c r="E18" s="850">
        <f t="shared" si="3"/>
        <v>35.666666666666664</v>
      </c>
      <c r="F18" s="849">
        <f>SUBTOTAL(9,F15:F17)</f>
        <v>685</v>
      </c>
      <c r="G18" s="850">
        <f t="shared" si="4"/>
        <v>228.33333333333334</v>
      </c>
      <c r="H18" s="849">
        <f>SUBTOTAL(9,H15:H17)</f>
        <v>13</v>
      </c>
      <c r="I18" s="850">
        <f>IF(ISNUMBER(H18/B18),H18/B18," - ")</f>
        <v>4.333333333333333</v>
      </c>
      <c r="BZ18" s="1186"/>
    </row>
    <row r="19" spans="1:78" ht="14.25" thickTop="1" thickBot="1">
      <c r="A19" s="793" t="str">
        <f>Datos!A19</f>
        <v>TOTAL JURISDICCIONES</v>
      </c>
      <c r="B19" s="794">
        <f>Datos!AP19</f>
        <v>3</v>
      </c>
      <c r="C19" s="794">
        <f>Datos!AR19</f>
        <v>3</v>
      </c>
      <c r="D19" s="794">
        <f>SUBTOTAL(9,D8:D18)</f>
        <v>213</v>
      </c>
      <c r="E19" s="795">
        <f>IF(ISNUMBER(D19/B19),D19/B19," - ")</f>
        <v>71</v>
      </c>
      <c r="F19" s="794">
        <f>SUBTOTAL(9,F8:F18)</f>
        <v>905</v>
      </c>
      <c r="G19" s="795">
        <f>IF(ISNUMBER(F19/B19),F19/B19," - ")</f>
        <v>301.66666666666669</v>
      </c>
      <c r="H19" s="794">
        <f>SUBTOTAL(9,H8:H18)</f>
        <v>206</v>
      </c>
      <c r="I19" s="795">
        <f>IF(ISNUMBER(H19/B19),H19/B19," - ")</f>
        <v>68.666666666666671</v>
      </c>
    </row>
    <row r="22" spans="1:78">
      <c r="A22" s="391" t="str">
        <f>Criterios!A4</f>
        <v>Fecha Informe: 27 feb. 2025</v>
      </c>
    </row>
    <row r="27" spans="1:78">
      <c r="A27" s="414"/>
    </row>
  </sheetData>
  <sheetProtection algorithmName="SHA-512" hashValue="qKwfFP/IoJJ1EzlSh4nY16f92rLHD+TyYC4ZT9FePeokUfzx2UZRx0F/fl62oQaFOGOaV1w9gfIKm16v9eU6qg==" saltValue="3KVmckSjMj3eUMPcI4Xd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46</v>
      </c>
      <c r="D12" s="408">
        <f>IF(ISNUMBER(Datos!R12),Datos!R12," - ")</f>
        <v>4720</v>
      </c>
    </row>
    <row r="13" spans="1:4" ht="14.25" thickTop="1" thickBot="1">
      <c r="A13" s="848" t="str">
        <f>Datos!A13</f>
        <v>TOTAL</v>
      </c>
      <c r="B13" s="849">
        <f>SUBTOTAL(9,B9:B12)</f>
        <v>115</v>
      </c>
      <c r="C13" s="853">
        <f>SUBTOTAL(9,C9:C12)</f>
        <v>47</v>
      </c>
      <c r="D13" s="851">
        <f>SUBTOTAL(9,D9:D12)</f>
        <v>4733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21</v>
      </c>
      <c r="D16" s="408">
        <f>IF(ISNUMBER(Datos!R16),Datos!R16," - ")</f>
        <v>141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21</v>
      </c>
      <c r="D18" s="851">
        <f>SUBTOTAL(9,D15:D17)</f>
        <v>141</v>
      </c>
    </row>
    <row r="19" spans="1:4" ht="16.5" customHeight="1" thickTop="1" thickBot="1">
      <c r="A19" s="793" t="str">
        <f>Datos!A19</f>
        <v>TOTAL JURISDICCIONES</v>
      </c>
      <c r="B19" s="798">
        <f>SUBTOTAL(9,B8:B18)</f>
        <v>129</v>
      </c>
      <c r="C19" s="799">
        <f>SUBTOTAL(9,C8:C18)</f>
        <v>68</v>
      </c>
      <c r="D19" s="800">
        <f>SUBTOTAL(9,D8:D18)</f>
        <v>4874</v>
      </c>
    </row>
    <row r="20" spans="1:4" ht="7.5" customHeight="1"/>
    <row r="21" spans="1:4" ht="6" customHeight="1"/>
    <row r="22" spans="1:4">
      <c r="A22" s="391" t="str">
        <f>Criterios!A4</f>
        <v>Fecha Informe: 27 feb. 2025</v>
      </c>
    </row>
    <row r="27" spans="1:4">
      <c r="A27" s="414"/>
    </row>
  </sheetData>
  <sheetProtection algorithmName="SHA-512" hashValue="3Tbu3NAUN5RmR+AuwdIOEGsgajrVx1sDLScekP4rt7DVxGwhSRwFivNDFd0vRTAYjiYzmVDEf6p6RiIzFPCYXA==" saltValue="16kmmWubZYMiciaWDgYw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-0.48888888888888887</v>
      </c>
      <c r="C10" s="456">
        <f>IF(ISNUMBER((Datos!J10-Datos!T10)/Datos!T10),(Datos!J10-Datos!T10)/Datos!T10," - ")</f>
        <v>1</v>
      </c>
      <c r="D10" s="456" t="str">
        <f>IF(ISNUMBER((Datos!K10-Datos!U10)/Datos!U10),(Datos!K10-Datos!U10)/Datos!U10," - ")</f>
        <v xml:space="preserve"> - </v>
      </c>
      <c r="E10" s="456">
        <f>IF(ISNUMBER((Datos!L10-Datos!V10)/Datos!V10),(Datos!L10-Datos!V10)/Datos!V10," - ")</f>
        <v>-0.53676470588235292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0.58841828188561862</v>
      </c>
      <c r="C12" s="456">
        <f>IF(ISNUMBER(
   IF(J_V="SI",(Datos!J12-Datos!T12)/Datos!T12,(Datos!J12+Datos!Z12-(Datos!T12+Datos!AH12))/(Datos!T12+Datos!AH12))
     ),IF(J_V="SI",(Datos!J12-Datos!T12)/Datos!T12,(Datos!J12+Datos!Z12-(Datos!T12+Datos!AH12))/(Datos!T12+Datos!AH12))," - ")</f>
        <v>-0.51933701657458564</v>
      </c>
      <c r="D12" s="456">
        <f>IF(ISNUMBER(
   IF(J_V="SI",(Datos!K12-Datos!U12)/Datos!U12,(Datos!K12+Datos!AA12-(Datos!U12+Datos!AI12))/(Datos!U12+Datos!AI12))
     ),IF(J_V="SI",(Datos!K12-Datos!U12)/Datos!U12,(Datos!K12+Datos!AA12-(Datos!U12+Datos!AI12))/(Datos!U12+Datos!AI12))," - ")</f>
        <v>-0.13090909090909092</v>
      </c>
      <c r="E12" s="456">
        <f>IF(ISNUMBER(
   IF(J_V="SI",(Datos!L12-Datos!V12)/Datos!V12,(Datos!L12+Datos!AB12-(Datos!V12+Datos!AJ12))/(Datos!V12+Datos!AJ12))
     ),IF(J_V="SI",(Datos!L12-Datos!V12)/Datos!V12,(Datos!L12+Datos!AB12-(Datos!V12+Datos!AJ12))/(Datos!V12+Datos!AJ12))," - ")</f>
        <v>0.32578927348801828</v>
      </c>
      <c r="F12" s="456">
        <f>IF(ISNUMBER((Datos!M12-Datos!W12)/Datos!W12),(Datos!M12-Datos!W12)/Datos!W12," - ")</f>
        <v>-0.39884393063583817</v>
      </c>
      <c r="G12" s="457">
        <f>IF(ISNUMBER((Datos!N12-Datos!X12)/Datos!X12),(Datos!N12-Datos!X12)/Datos!X12," - ")</f>
        <v>5.3398058252427182E-2</v>
      </c>
      <c r="H12" s="455">
        <f>IF(ISNUMBER(((NºAsuntos!G12/NºAsuntos!E12)-Datos!BD12)/Datos!BD12),((NºAsuntos!G12/NºAsuntos!E12)-Datos!BD12)/Datos!BD12," - ")</f>
        <v>0.80810867293625888</v>
      </c>
      <c r="I12" s="456">
        <f>IF(ISNUMBER(((NºAsuntos!I12/NºAsuntos!G12)-Datos!BE12)/Datos!BE12),((NºAsuntos!I12/NºAsuntos!G12)-Datos!BE12)/Datos!BE12," - ")</f>
        <v>0.52548974982930974</v>
      </c>
      <c r="J12" s="461">
        <f>IF(ISNUMBER((('Resol  Asuntos'!D12/NºAsuntos!G12)-Datos!BF12)/Datos!BF12),(('Resol  Asuntos'!D12/NºAsuntos!G12)-Datos!BF12)/Datos!BF12," - ")</f>
        <v>-0.41910062152171262</v>
      </c>
      <c r="K12" s="462">
        <f>IF(ISNUMBER((((NºAsuntos!C12+NºAsuntos!E12)/NºAsuntos!G12)-Datos!BG12)/Datos!BG12),(((NºAsuntos!C12+NºAsuntos!E12)/NºAsuntos!G12)-Datos!BG12)/Datos!BG12," - ")</f>
        <v>0.47018036008621772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0.55470560964302273</v>
      </c>
      <c r="C13" s="855">
        <f>IF(ISNUMBER(
   IF(J_V="SI",(Datos!J13-Datos!T13)/Datos!T13,(Datos!J13+Datos!Z13-(Datos!T13+Datos!AH13))/(Datos!T13+Datos!AH13))
     ),IF(J_V="SI",(Datos!J13-Datos!T13)/Datos!T13,(Datos!J13+Datos!Z13-(Datos!T13+Datos!AH13))/(Datos!T13+Datos!AH13))," - ")</f>
        <v>-0.51840490797546013</v>
      </c>
      <c r="D13" s="855">
        <f>IF(ISNUMBER(
   IF(J_V="SI",(Datos!K13-Datos!U13)/Datos!U13,(Datos!K13+Datos!AA13-(Datos!U13+Datos!AI13))/(Datos!U13+Datos!AI13))
     ),IF(J_V="SI",(Datos!K13-Datos!U13)/Datos!U13,(Datos!K13+Datos!AA13-(Datos!U13+Datos!AI13))/(Datos!U13+Datos!AI13))," - ")</f>
        <v>-0.11636363636363636</v>
      </c>
      <c r="E13" s="855">
        <f>IF(ISNUMBER(
   IF(J_V="SI",(Datos!L13-Datos!V13)/Datos!V13,(Datos!L13+Datos!AB13-(Datos!V13+Datos!AJ13))/(Datos!V13+Datos!AJ13))
     ),IF(J_V="SI",(Datos!L13-Datos!V13)/Datos!V13,(Datos!L13+Datos!AB13-(Datos!V13+Datos!AJ13))/(Datos!V13+Datos!AJ13))," - ")</f>
        <v>0.30404152762328512</v>
      </c>
      <c r="F13" s="856">
        <f>IF(ISNUMBER((Datos!M13-Datos!W13)/Datos!W13),(Datos!M13-Datos!W13)/Datos!W13," - ")</f>
        <v>-0.38728323699421963</v>
      </c>
      <c r="G13" s="857">
        <f>IF(ISNUMBER((Datos!N13-Datos!X13)/Datos!X13),(Datos!N13-Datos!X13)/Datos!X13," - ")</f>
        <v>6.7961165048543687E-2</v>
      </c>
      <c r="H13" s="857">
        <f>IF(ISNUMBER(((NºAsuntos!G13/NºAsuntos!E13)-Datos!BD13)/Datos!BD13),((NºAsuntos!G13/NºAsuntos!E13)-Datos!BD13)/Datos!BD13," - ")</f>
        <v>0.83481181239143021</v>
      </c>
      <c r="I13" s="857">
        <f>IF(ISNUMBER(((NºAsuntos!I13/NºAsuntos!G13)-Datos!BE13)/Datos!BE13),((NºAsuntos!I13/NºAsuntos!G13)-Datos!BE13)/Datos!BE13," - ")</f>
        <v>0.47576716089054916</v>
      </c>
      <c r="J13" s="857">
        <f>IF(ISNUMBER((('Resol  Asuntos'!D13/NºAsuntos!G13)-Datos!BF13)/Datos!BF13),(('Resol  Asuntos'!D13/NºAsuntos!G13)-Datos!BF13)/Datos!BF13," - ")</f>
        <v>-0.41767549642414803</v>
      </c>
      <c r="K13" s="857">
        <f>IF(ISNUMBER((((NºAsuntos!C13+NºAsuntos!E13)/NºAsuntos!G13)-Datos!BG13)/Datos!BG13),(((NºAsuntos!C13+NºAsuntos!E13)/NºAsuntos!G13)-Datos!BG13)/Datos!BG13," - ")</f>
        <v>0.42641332823776379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3.2044434949797052E-3</v>
      </c>
      <c r="C16" s="456">
        <f>IF(ISNUMBER(
   IF(D_I="SI",(Datos!J16-Datos!T16)/Datos!T16,(Datos!J16+Datos!AD16-(Datos!T16+Datos!AL16))/(Datos!T16+Datos!AL16))
     ),IF(D_I="SI",(Datos!J16-Datos!T16)/Datos!T16,(Datos!J16+Datos!AD16-(Datos!T16+Datos!AL16))/(Datos!T16+Datos!AL16))," - ")</f>
        <v>0.19368974583698509</v>
      </c>
      <c r="D16" s="456">
        <f>IF(ISNUMBER(
   IF(D_I="SI",(Datos!K16-Datos!U16)/Datos!U16,(Datos!K16+Datos!AE16-(Datos!U16+Datos!AM16))/(Datos!U16+Datos!AM16))
     ),IF(D_I="SI",(Datos!K16-Datos!U16)/Datos!U16,(Datos!K16+Datos!AE16-(Datos!U16+Datos!AM16))/(Datos!U16+Datos!AM16))," - ")</f>
        <v>-7.8891257995735611E-2</v>
      </c>
      <c r="E16" s="456">
        <f>IF(ISNUMBER(
   IF(D_I="SI",(Datos!L16-Datos!V16)/Datos!V16,(Datos!L16+Datos!AF16-(Datos!V16+Datos!AN16))/(Datos!V16+Datos!AN16))
     ),IF(D_I="SI",(Datos!L16-Datos!V16)/Datos!V16,(Datos!L16+Datos!AF16-(Datos!V16+Datos!AN16))/(Datos!V16+Datos!AN16))," - ")</f>
        <v>6.5724815724815727E-2</v>
      </c>
      <c r="F16" s="456">
        <f>IF(ISNUMBER((Datos!M16-Datos!W16)/Datos!W16),(Datos!M16-Datos!W16)/Datos!W16," - ")</f>
        <v>0</v>
      </c>
      <c r="G16" s="457">
        <f>IF(ISNUMBER((Datos!N16-Datos!X16)/Datos!X16),(Datos!N16-Datos!X16)/Datos!X16," - ")</f>
        <v>-0.14366197183098592</v>
      </c>
      <c r="H16" s="455">
        <f>IF(ISNUMBER(((NºAsuntos!G16/NºAsuntos!E16)-Datos!BD16)/Datos!BD16),((NºAsuntos!G16/NºAsuntos!E16)-Datos!BD16)/Datos!BD16," - ")</f>
        <v>-0.22835163390097965</v>
      </c>
      <c r="I16" s="456">
        <f>IF(ISNUMBER(((NºAsuntos!I16/NºAsuntos!G16)-Datos!BE16)/Datos!BE16),((NºAsuntos!I16/NºAsuntos!G16)-Datos!BE16)/Datos!BE16," - ")</f>
        <v>0.15700217262717259</v>
      </c>
      <c r="J16" s="461">
        <f>IF(ISNUMBER((('Resol  Asuntos'!D16/NºAsuntos!G16)-Datos!BF16)/Datos!BF16),(('Resol  Asuntos'!D16/NºAsuntos!G16)-Datos!BF16)/Datos!BF16," - ")</f>
        <v>8.5648148148148029E-2</v>
      </c>
      <c r="K16" s="462">
        <f>IF(ISNUMBER((((NºAsuntos!C16+NºAsuntos!E16)/NºAsuntos!G16)-Datos!BG16)/Datos!BG16),(((NºAsuntos!C16+NºAsuntos!E16)/NºAsuntos!G16)-Datos!BG16)/Datos!BG16," - ")</f>
        <v>0.12965587108922738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0.18055555555555555</v>
      </c>
      <c r="C17" s="456">
        <f>IF(ISNUMBER(
   IF(D_I="SI",(Datos!J17-Datos!T17)/Datos!T17,(Datos!J17+Datos!AD17-(Datos!T17+Datos!AL17))/(Datos!T17+Datos!AL17))
     ),IF(D_I="SI",(Datos!J17-Datos!T17)/Datos!T17,(Datos!J17+Datos!AD17-(Datos!T17+Datos!AL17))/(Datos!T17+Datos!AL17))," - ")</f>
        <v>-0.58208955223880599</v>
      </c>
      <c r="D17" s="456">
        <f>IF(ISNUMBER(
   IF(D_I="SI",(Datos!K17-Datos!U17)/Datos!U17,(Datos!K17+Datos!AE17-(Datos!U17+Datos!AM17))/(Datos!U17+Datos!AM17))
     ),IF(D_I="SI",(Datos!K17-Datos!U17)/Datos!U17,(Datos!K17+Datos!AE17-(Datos!U17+Datos!AM17))/(Datos!U17+Datos!AM17))," - ")</f>
        <v>0.16470588235294117</v>
      </c>
      <c r="E17" s="456">
        <f>IF(ISNUMBER(
   IF(D_I="SI",(Datos!L17-Datos!V17)/Datos!V17,(Datos!L17+Datos!AF17-(Datos!V17+Datos!AN17))/(Datos!V17+Datos!AN17))
     ),IF(D_I="SI",(Datos!L17-Datos!V17)/Datos!V17,(Datos!L17+Datos!AF17-(Datos!V17+Datos!AN17))/(Datos!V17+Datos!AN17))," - ")</f>
        <v>-0.55749128919860624</v>
      </c>
      <c r="F17" s="456">
        <f>IF(ISNUMBER((Datos!M17-Datos!W17)/Datos!W17),(Datos!M17-Datos!W17)/Datos!W17," - ")</f>
        <v>2.1666666666666665</v>
      </c>
      <c r="G17" s="457">
        <f>IF(ISNUMBER((Datos!N17-Datos!X17)/Datos!X17),(Datos!N17-Datos!X17)/Datos!X17," - ")</f>
        <v>-0.20618556701030927</v>
      </c>
      <c r="H17" s="455">
        <f>IF(ISNUMBER(((NºAsuntos!G17/NºAsuntos!E17)-Datos!BD17)/Datos!BD17),((NºAsuntos!G17/NºAsuntos!E17)-Datos!BD17)/Datos!BD17," - ")</f>
        <v>1.7869747899159658</v>
      </c>
      <c r="I17" s="456">
        <f>IF(ISNUMBER(((NºAsuntos!I17/NºAsuntos!G17)-Datos!BE17)/Datos!BE17),((NºAsuntos!I17/NºAsuntos!G17)-Datos!BE17)/Datos!BE17," - ")</f>
        <v>-0.62006827860486391</v>
      </c>
      <c r="J17" s="461">
        <f>IF(ISNUMBER((('Resol  Asuntos'!D17/NºAsuntos!G17)-Datos!BF17)/Datos!BF17),(('Resol  Asuntos'!D17/NºAsuntos!G17)-Datos!BF17)/Datos!BF17," - ")</f>
        <v>1.7188552188552186</v>
      </c>
      <c r="K17" s="462">
        <f>IF(ISNUMBER((((NºAsuntos!C17+NºAsuntos!E17)/NºAsuntos!G17)-Datos!BG17)/Datos!BG17),(((NºAsuntos!C17+NºAsuntos!E17)/NºAsuntos!G17)-Datos!BG17)/Datos!BG17," - ")</f>
        <v>-0.30201293510646027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8.4974093264248707E-3</v>
      </c>
      <c r="C18" s="855">
        <f>IF(ISNUMBER(
   IF(Criterios!B14="SI",(Datos!J18-Datos!T18)/Datos!T18,(Datos!J18+Datos!AD18-(Datos!T18+Datos!AL18))/(Datos!T18+Datos!AL18))
     ),IF(Criterios!B14="SI",(Datos!J18-Datos!T18)/Datos!T18,(Datos!J18+Datos!AD18-(Datos!T18+Datos!AL18))/(Datos!T18+Datos!AL18))," - ")</f>
        <v>0.11215686274509803</v>
      </c>
      <c r="D18" s="855">
        <f>IF(ISNUMBER(
   IF(Criterios!B14="SI",(Datos!K18-Datos!U18)/Datos!U18,(Datos!K18+Datos!AE18-(Datos!U18+Datos!AM18))/(Datos!U18+Datos!AM18))
     ),IF(Criterios!B14="SI",(Datos!K18-Datos!U18)/Datos!U18,(Datos!K18+Datos!AE18-(Datos!U18+Datos!AM18))/(Datos!U18+Datos!AM18))," - ")</f>
        <v>-5.865102639296188E-2</v>
      </c>
      <c r="E18" s="855">
        <f>IF(ISNUMBER(
   IF(Criterios!B14="SI",(Datos!L18-Datos!V18)/Datos!V18,(Datos!L18+Datos!AF18-(Datos!V18+Datos!AN18))/(Datos!V18+Datos!AN18))
     ),IF(Criterios!B14="SI",(Datos!L18-Datos!V18)/Datos!V18,(Datos!L18+Datos!AF18-(Datos!V18+Datos!AN18))/(Datos!V18+Datos!AN18))," - ")</f>
        <v>3.1135176948365886E-2</v>
      </c>
      <c r="F18" s="856">
        <f>IF(ISNUMBER((Datos!M18-Datos!W18)/Datos!W18),(Datos!M18-Datos!W18)/Datos!W18," - ")</f>
        <v>0.13829787234042554</v>
      </c>
      <c r="G18" s="857">
        <f>IF(ISNUMBER((Datos!N18-Datos!X18)/Datos!X18),(Datos!N18-Datos!X18)/Datos!X18," - ")</f>
        <v>-0.15117719950433706</v>
      </c>
      <c r="H18" s="857">
        <f>IF(ISNUMBER(((NºAsuntos!G18/NºAsuntos!E18)-Datos!BD18)/Datos!BD18),((NºAsuntos!G18/NºAsuntos!E18)-Datos!BD18)/Datos!BD18," - ")</f>
        <v>-0.15358255194007497</v>
      </c>
      <c r="I18" s="857">
        <f>IF(ISNUMBER(((NºAsuntos!I18/NºAsuntos!G18)-Datos!BE18)/Datos!BE18),((NºAsuntos!I18/NºAsuntos!G18)-Datos!BE18)/Datos!BE18," - ")</f>
        <v>9.5380359312749977E-2</v>
      </c>
      <c r="J18" s="857">
        <f>IF(ISNUMBER((('Resol  Asuntos'!D18/NºAsuntos!G18)-Datos!BF18)/Datos!BF18),(('Resol  Asuntos'!D18/NºAsuntos!G18)-Datos!BF18)/Datos!BF18," - ")</f>
        <v>0.20921985815602828</v>
      </c>
      <c r="K18" s="857">
        <f>IF(ISNUMBER((((NºAsuntos!C18+NºAsuntos!E18)/NºAsuntos!G18)-Datos!BG18)/Datos!BG18),(((NºAsuntos!C18+NºAsuntos!E18)/NºAsuntos!G18)-Datos!BG18)/Datos!BG18," - ")</f>
        <v>9.434860323783259E-2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0.26633110843637159</v>
      </c>
      <c r="C19" s="802">
        <f>IF(ISNUMBER(
   IF(J_V="SI",(Datos!J19-Datos!T19)/Datos!T19,(Datos!J19+Datos!Z19-(Datos!T19+Datos!AH19))/(Datos!T19+Datos!AH19))
     ),IF(J_V="SI",(Datos!J19-Datos!T19)/Datos!T19,(Datos!J19+Datos!Z19-(Datos!T19+Datos!AH19))/(Datos!T19+Datos!AH19))," - ")</f>
        <v>-0.24165232358003441</v>
      </c>
      <c r="D19" s="802">
        <f>IF(ISNUMBER(
   IF(J_V="SI",(Datos!K19-Datos!U19)/Datos!U19,(Datos!K19+Datos!AA19-(Datos!U19+Datos!AI19))/(Datos!U19+Datos!AI19))
     ),IF(J_V="SI",(Datos!K19-Datos!U19)/Datos!U19,(Datos!K19+Datos!AA19-(Datos!U19+Datos!AI19))/(Datos!U19+Datos!AI19))," - ")</f>
        <v>-7.8830260648442466E-2</v>
      </c>
      <c r="E19" s="802">
        <f>IF(ISNUMBER(
   IF(J_V="SI",(Datos!L19-Datos!V19)/Datos!V19,(Datos!L19+Datos!AB19-(Datos!V19+Datos!AJ19))/(Datos!V19+Datos!AJ19))
     ),IF(J_V="SI",(Datos!L19-Datos!V19)/Datos!V19,(Datos!L19+Datos!AB19-(Datos!V19+Datos!AJ19))/(Datos!V19+Datos!AJ19))," - ")</f>
        <v>0.17046852815901561</v>
      </c>
      <c r="F19" s="803">
        <f>IF(ISNUMBER((Datos!M19-Datos!W19)/Datos!W19),(Datos!M19-Datos!W19)/Datos!W19," - ")</f>
        <v>-0.20224719101123595</v>
      </c>
      <c r="G19" s="804">
        <f>IF(ISNUMBER((Datos!N19-Datos!X19)/Datos!X19),(Datos!N19-Datos!X19)/Datos!X19," - ")</f>
        <v>-0.10661401776900296</v>
      </c>
      <c r="H19" s="805">
        <f>IF(ISNUMBER((Tasas!B19-Datos!BD19)/Datos!BD19),(Tasas!B19-Datos!BD19)/Datos!BD19," - ")</f>
        <v>0.21470635170961178</v>
      </c>
      <c r="I19" s="806">
        <f>IF(ISNUMBER((Tasas!C19-Datos!BE19)/Datos!BE19),(Tasas!C19-Datos!BE19)/Datos!BE19," - ")</f>
        <v>0.27063284664881404</v>
      </c>
      <c r="J19" s="807">
        <f>IF(ISNUMBER((Tasas!D19-Datos!BF19)/Datos!BF19),(Tasas!D19-Datos!BF19)/Datos!BF19," - ")</f>
        <v>-0.22924085576259493</v>
      </c>
      <c r="K19" s="807">
        <f>IF(ISNUMBER((Tasas!E19-Datos!BG19)/Datos!BG19),(Tasas!E19-Datos!BG19)/Datos!BG19," - ")</f>
        <v>0.24168868737335078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NrjV/Tf4s2y17730RZiyKvA8pWs7uEeR0BVDeY+OKx7Pu+xY/0/gbUNO+w6aWovruaLnJ88/343yN/o3QPBkg==" saltValue="EkuMWTsyskJrx6FIJNAq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7.875</v>
      </c>
      <c r="D10" s="444">
        <f>IF(ISNUMBER('Resol  Asuntos'!D10/NºAsuntos!G10),'Resol  Asuntos'!D10/NºAsuntos!G10," - ")</f>
        <v>0.25</v>
      </c>
      <c r="E10" s="445">
        <f>IF(ISNUMBER((NºAsuntos!C10+NºAsuntos!E10)/NºAsuntos!G10),(NºAsuntos!C10+NºAsuntos!E10)/NºAsuntos!G10," - ")</f>
        <v>8.875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0.61047254150702424</v>
      </c>
      <c r="C12" s="443">
        <f>IF(ISNUMBER(NºAsuntos!I12/NºAsuntos!G12),NºAsuntos!I12/NºAsuntos!G12," - ")</f>
        <v>14.583682008368202</v>
      </c>
      <c r="D12" s="444">
        <f>IF(ISNUMBER('Resol  Asuntos'!D12/NºAsuntos!G12),'Resol  Asuntos'!D12/NºAsuntos!G12," - ")</f>
        <v>0.21757322175732219</v>
      </c>
      <c r="E12" s="445">
        <f>IF(ISNUMBER((NºAsuntos!C12+NºAsuntos!E12)/NºAsuntos!G12),(NºAsuntos!C12+NºAsuntos!E12)/NºAsuntos!G12," - ")</f>
        <v>15.52510460251046</v>
      </c>
      <c r="G12" s="463"/>
    </row>
    <row r="13" spans="1:7" ht="14.25" thickTop="1" thickBot="1">
      <c r="A13" s="848" t="str">
        <f>Datos!A13</f>
        <v>TOTAL</v>
      </c>
      <c r="B13" s="858">
        <f>IF(ISNUMBER(NºAsuntos!G13/NºAsuntos!E13),NºAsuntos!G13/NºAsuntos!E13," - ")</f>
        <v>0.61910828025477704</v>
      </c>
      <c r="C13" s="859">
        <f>IF(ISNUMBER(NºAsuntos!I13/NºAsuntos!G13),NºAsuntos!I13/NºAsuntos!G13," - ")</f>
        <v>14.473251028806585</v>
      </c>
      <c r="D13" s="860">
        <f>IF(ISNUMBER('Resol  Asuntos'!D13/NºAsuntos!G13),'Resol  Asuntos'!D13/NºAsuntos!G13," - ")</f>
        <v>0.21810699588477367</v>
      </c>
      <c r="E13" s="861">
        <f>IF(ISNUMBER((NºAsuntos!C13+NºAsuntos!E13)/NºAsuntos!G13),(NºAsuntos!C13+NºAsuntos!E13)/NºAsuntos!G13," - ")</f>
        <v>15.415637860082304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0.63436123348017626</v>
      </c>
      <c r="C16" s="443">
        <f>IF(ISNUMBER(NºAsuntos!I16/NºAsuntos!G16),NºAsuntos!I16/NºAsuntos!G16," - ")</f>
        <v>6.0243055555555554</v>
      </c>
      <c r="D16" s="444">
        <f>IF(ISNUMBER('Resol  Asuntos'!D16/NºAsuntos!G16),'Resol  Asuntos'!D16/NºAsuntos!G16," - ")</f>
        <v>0.10185185185185185</v>
      </c>
      <c r="E16" s="445">
        <f>IF(ISNUMBER((NºAsuntos!C16+NºAsuntos!E16)/NºAsuntos!G16),(NºAsuntos!C16+NºAsuntos!E16)/NºAsuntos!G16," - ")</f>
        <v>7.0115740740740744</v>
      </c>
      <c r="G16" s="463"/>
    </row>
    <row r="17" spans="1:7" ht="13.5" thickBot="1">
      <c r="A17" s="402" t="str">
        <f>Datos!A17</f>
        <v>Jdos. Violencia contra la mujer</v>
      </c>
      <c r="B17" s="442">
        <f>IF(ISNUMBER(NºAsuntos!G17/NºAsuntos!E17),NºAsuntos!G17/NºAsuntos!E17," - ")</f>
        <v>1.7678571428571428</v>
      </c>
      <c r="C17" s="443">
        <f>IF(ISNUMBER(NºAsuntos!I17/NºAsuntos!G17),NºAsuntos!I17/NºAsuntos!G17," - ")</f>
        <v>1.2828282828282829</v>
      </c>
      <c r="D17" s="444">
        <f>IF(ISNUMBER('Resol  Asuntos'!D17/NºAsuntos!G17),'Resol  Asuntos'!D17/NºAsuntos!G17," - ")</f>
        <v>0.19191919191919191</v>
      </c>
      <c r="E17" s="445">
        <f>IF(ISNUMBER((NºAsuntos!C17+NºAsuntos!E17)/NºAsuntos!G17),(NºAsuntos!C17+NºAsuntos!E17)/NºAsuntos!G17," - ")</f>
        <v>2.2828282828282829</v>
      </c>
      <c r="G17" s="463"/>
    </row>
    <row r="18" spans="1:7" ht="14.25" thickTop="1" thickBot="1">
      <c r="A18" s="848" t="str">
        <f>Datos!A18</f>
        <v>TOTAL</v>
      </c>
      <c r="B18" s="858">
        <f>IF(ISNUMBER(NºAsuntos!G18/NºAsuntos!E18),NºAsuntos!G18/NºAsuntos!E18," - ")</f>
        <v>0.67912552891396338</v>
      </c>
      <c r="C18" s="859">
        <f>IF(ISNUMBER(NºAsuntos!I18/NºAsuntos!G18),NºAsuntos!I18/NºAsuntos!G18," - ")</f>
        <v>5.5368639667705084</v>
      </c>
      <c r="D18" s="862">
        <f>IF(ISNUMBER('Resol  Asuntos'!D18/NºAsuntos!G18),'Resol  Asuntos'!D18/NºAsuntos!G18," - ")</f>
        <v>0.1111111111111111</v>
      </c>
      <c r="E18" s="861">
        <f>IF(ISNUMBER((NºAsuntos!C18+NºAsuntos!E18)/NºAsuntos!G18),(NºAsuntos!C18+NºAsuntos!E18)/NºAsuntos!G18," - ")</f>
        <v>6.5254413291796469</v>
      </c>
      <c r="G18" s="463"/>
    </row>
    <row r="19" spans="1:7" ht="15.75" customHeight="1" thickTop="1" thickBot="1">
      <c r="A19" s="793" t="str">
        <f>Datos!A19</f>
        <v>TOTAL JURISDICCIONES</v>
      </c>
      <c r="B19" s="808">
        <f>IF(ISNUMBER(NºAsuntos!G19/NºAsuntos!E19),NºAsuntos!G19/NºAsuntos!E19," - ")</f>
        <v>0.65773944620971403</v>
      </c>
      <c r="C19" s="809">
        <f>IF(ISNUMBER(NºAsuntos!I19/NºAsuntos!G19),NºAsuntos!I19/NºAsuntos!G19," - ")</f>
        <v>8.5341614906832302</v>
      </c>
      <c r="D19" s="810">
        <f>IF(ISNUMBER('Resol  Asuntos'!D19/NºAsuntos!G19),'Resol  Asuntos'!D19/NºAsuntos!G19," - ")</f>
        <v>0.14699792960662525</v>
      </c>
      <c r="E19" s="811">
        <f>IF(ISNUMBER((NºAsuntos!C19+NºAsuntos!E19)/NºAsuntos!G19),(NºAsuntos!C19+NºAsuntos!E19)/NºAsuntos!G19," - ")</f>
        <v>9.5072463768115938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dJQoSm/i6M6p06OUgaJG1/HM8GcyzqNZKFKg1qEK1513pyXHSaxar8miHZEm8vI1iJac+IwZW8aywsN99BxtA==" saltValue="WPAvJsJi/ls6sd0ZbkTx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69</v>
      </c>
      <c r="G10" s="333">
        <f>IF(ISNUMBER(Datos!I10),Datos!I10," - ")</f>
        <v>69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63</v>
      </c>
      <c r="AB10" s="334">
        <f>IF(ISNUMBER(Datos!R10),Datos!R10," - ")</f>
        <v>13</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23.625</v>
      </c>
      <c r="AN10" s="244">
        <f>IF(ISNUMBER('Resol  Asuntos'!D10/NºAsuntos!G10),'Resol  Asuntos'!D10/NºAsuntos!G10," - ")</f>
        <v>0.25</v>
      </c>
      <c r="AO10" s="245">
        <f>IF(ISNUMBER((NºAsuntos!C10+NºAsuntos!E10)/NºAsuntos!G10),(NºAsuntos!C10+NºAsuntos!E10)/NºAsuntos!G10," - ")</f>
        <v>8.875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0.61047254150702424</v>
      </c>
      <c r="AM12" s="260">
        <f>IF(ISNUMBER(((NºAsuntos!I12/NºAsuntos!G12)*11)/factor_trimestre),((NºAsuntos!I12/NºAsuntos!G12)*11)/factor_trimestre," - ")</f>
        <v>43.751046025104607</v>
      </c>
      <c r="AN12" s="244">
        <f>IF(ISNUMBER('Resol  Asuntos'!D12/NºAsuntos!G12),'Resol  Asuntos'!D12/NºAsuntos!G12," - ")</f>
        <v>0.21757322175732219</v>
      </c>
      <c r="AO12" s="245">
        <f>IF(ISNUMBER((NºAsuntos!C12+NºAsuntos!E12)/NºAsuntos!G12),(NºAsuntos!C12+NºAsuntos!E12)/NºAsuntos!G12," - ")</f>
        <v>15.52510460251046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69</v>
      </c>
      <c r="G13" s="866">
        <f t="shared" si="3"/>
        <v>69</v>
      </c>
      <c r="H13" s="865">
        <f t="shared" si="3"/>
        <v>0</v>
      </c>
      <c r="I13" s="867">
        <f t="shared" si="3"/>
        <v>0</v>
      </c>
      <c r="J13" s="867">
        <f t="shared" si="3"/>
        <v>0</v>
      </c>
      <c r="K13" s="867">
        <f t="shared" si="3"/>
        <v>0</v>
      </c>
      <c r="L13" s="867">
        <f t="shared" si="3"/>
        <v>115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47</v>
      </c>
      <c r="Y13" s="868">
        <f t="shared" si="4"/>
        <v>55</v>
      </c>
      <c r="Z13" s="868">
        <f t="shared" si="4"/>
        <v>0</v>
      </c>
      <c r="AA13" s="868">
        <f t="shared" si="4"/>
        <v>63</v>
      </c>
      <c r="AB13" s="868">
        <f t="shared" si="4"/>
        <v>4733</v>
      </c>
      <c r="AC13" s="868">
        <f t="shared" si="4"/>
        <v>76</v>
      </c>
      <c r="AD13" s="868">
        <f t="shared" si="4"/>
        <v>0</v>
      </c>
      <c r="AE13" s="872">
        <f t="shared" si="4"/>
        <v>0</v>
      </c>
      <c r="AF13" s="865">
        <f t="shared" si="4"/>
        <v>0</v>
      </c>
      <c r="AG13" s="873">
        <f t="shared" si="4"/>
        <v>0</v>
      </c>
      <c r="AH13" s="870">
        <f t="shared" si="4"/>
        <v>0</v>
      </c>
      <c r="AI13" s="865">
        <f t="shared" si="4"/>
        <v>106</v>
      </c>
      <c r="AJ13" s="867">
        <f t="shared" si="4"/>
        <v>0</v>
      </c>
      <c r="AK13" s="870">
        <f>SUBTOTAL(9,AK9:AK12)</f>
        <v>0</v>
      </c>
      <c r="AL13" s="874">
        <f>IF(ISNUMBER(NºAsuntos!G13/NºAsuntos!E13),NºAsuntos!G13/NºAsuntos!E13," - ")</f>
        <v>0.61910828025477704</v>
      </c>
      <c r="AM13" s="874">
        <f>IF(ISNUMBER(((NºAsuntos!I13/NºAsuntos!G13)*11)/factor_trimestre),((NºAsuntos!I13/NºAsuntos!G13)*11)/factor_trimestre," - ")</f>
        <v>43.41975308641976</v>
      </c>
      <c r="AN13" s="875">
        <f>IF(ISNUMBER('Resol  Asuntos'!D13/NºAsuntos!G13),'Resol  Asuntos'!D13/NºAsuntos!G13," - ")</f>
        <v>0.21810699588477367</v>
      </c>
      <c r="AO13" s="876">
        <f>IF(ISNUMBER((NºAsuntos!C13+NºAsuntos!E13)/NºAsuntos!G13),(NºAsuntos!C13+NºAsuntos!E13)/NºAsuntos!G13," - ")</f>
        <v>15.415637860082304</v>
      </c>
      <c r="AP13" s="877" t="str">
        <f t="shared" si="2"/>
        <v xml:space="preserve"> - </v>
      </c>
      <c r="AQ13" s="877">
        <f>IF(ISNUMBER((H13-W13+K13)/(F13)),(H13-W13+K13)/(F13)," - ")</f>
        <v>-0.11594202898550725</v>
      </c>
      <c r="AR13" s="878">
        <f>IF(ISNUMBER((Datos!P13-Datos!Q13)/(Datos!R13-Datos!P13+Datos!Q13)),(Datos!P13-Datos!Q13)/(Datos!R13-Datos!P13+Datos!Q13)," - ")</f>
        <v>1.4576634512325831E-2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4707</v>
      </c>
      <c r="G16" s="333">
        <f>IF(ISNUMBER(IF(D_I="SI",Datos!I16,Datos!I16+Datos!AC16)),IF(D_I="SI",Datos!I16,Datos!I16+Datos!AC16)," - ")</f>
        <v>4696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864</v>
      </c>
      <c r="X16" s="226">
        <f>IF(ISNUMBER(Datos!Q16),Datos!Q16," - ")</f>
        <v>21</v>
      </c>
      <c r="Y16" s="334">
        <f t="shared" ref="Y16:Y17" si="7">SUM(W16:X16)</f>
        <v>885</v>
      </c>
      <c r="Z16" s="335" t="str">
        <f>IF(ISNUMBER(Datos!CC16),Datos!CC16," - ")</f>
        <v xml:space="preserve"> - </v>
      </c>
      <c r="AA16" s="332">
        <f>IF(ISNUMBER(IF(D_I="SI",Datos!L16,Datos!L16+Datos!AF16)),IF(D_I="SI",Datos!L16,Datos!L16+Datos!AF16)," - ")</f>
        <v>5205</v>
      </c>
      <c r="AB16" s="334">
        <f>IF(ISNUMBER(Datos!R16),Datos!R16," - ")</f>
        <v>141</v>
      </c>
      <c r="AC16" s="334">
        <f t="shared" si="6"/>
        <v>5346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88</v>
      </c>
      <c r="AJ16" s="231" t="str">
        <f>IF(ISNUMBER(Datos!BW16),Datos!BW16," - ")</f>
        <v xml:space="preserve"> - </v>
      </c>
      <c r="AK16" s="232" t="str">
        <f>IF(ISNUMBER(Datos!BX16),Datos!BX16," - ")</f>
        <v xml:space="preserve"> - </v>
      </c>
      <c r="AL16" s="243">
        <f>IF(ISNUMBER(NºAsuntos!G16/NºAsuntos!E16),NºAsuntos!G16/NºAsuntos!E16," - ")</f>
        <v>0.63436123348017626</v>
      </c>
      <c r="AM16" s="260">
        <f>IF(ISNUMBER(((NºAsuntos!I16/NºAsuntos!G16)*11)/factor_trimestre),((NºAsuntos!I16/NºAsuntos!G16)*11)/factor_trimestre," - ")</f>
        <v>18.072916666666668</v>
      </c>
      <c r="AN16" s="244">
        <f>IF(ISNUMBER('Resol  Asuntos'!D16/NºAsuntos!G16),'Resol  Asuntos'!D16/NºAsuntos!G16," - ")</f>
        <v>0.10185185185185185</v>
      </c>
      <c r="AO16" s="245">
        <f>IF(ISNUMBER((NºAsuntos!C16+NºAsuntos!E16)/NºAsuntos!G16),(NºAsuntos!C16+NºAsuntos!E16)/NºAsuntos!G16," - ")</f>
        <v>7.0115740740740744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0</v>
      </c>
      <c r="Y17" s="334">
        <f t="shared" si="7"/>
        <v>99</v>
      </c>
      <c r="Z17" s="335" t="str">
        <f>IF(ISNUMBER(Datos!CC17),Datos!CC17," - ")</f>
        <v xml:space="preserve"> - </v>
      </c>
      <c r="AA17" s="332">
        <f>IF(ISNUMBER(Datos!L17),Datos!L17,"-")</f>
        <v>127</v>
      </c>
      <c r="AB17" s="334">
        <f>IF(ISNUMBER(Datos!R17),Datos!R17," - ")</f>
        <v>0</v>
      </c>
      <c r="AC17" s="334">
        <f t="shared" si="6"/>
        <v>127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1.7678571428571428</v>
      </c>
      <c r="AM17" s="260">
        <f>IF(ISNUMBER(((NºAsuntos!I17/NºAsuntos!G17)*11)/factor_trimestre),((NºAsuntos!I17/NºAsuntos!G17)*11)/factor_trimestre," - ")</f>
        <v>3.8484848484848486</v>
      </c>
      <c r="AN17" s="244">
        <f>IF(ISNUMBER('Resol  Asuntos'!D17/NºAsuntos!G17),'Resol  Asuntos'!D17/NºAsuntos!G17," - ")</f>
        <v>0.19191919191919191</v>
      </c>
      <c r="AO17" s="245">
        <f>IF(ISNUMBER((NºAsuntos!C17+NºAsuntos!E17)/NºAsuntos!G17),(NºAsuntos!C17+NºAsuntos!E17)/NºAsuntos!G17," - ")</f>
        <v>2.2828282828282829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4707</v>
      </c>
      <c r="G18" s="866">
        <f>SUBTOTAL(9,G15:G17)</f>
        <v>4866</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963</v>
      </c>
      <c r="X18" s="867">
        <f t="shared" si="11"/>
        <v>21</v>
      </c>
      <c r="Y18" s="868">
        <f t="shared" si="11"/>
        <v>984</v>
      </c>
      <c r="Z18" s="868">
        <f t="shared" si="11"/>
        <v>0</v>
      </c>
      <c r="AA18" s="868">
        <f t="shared" si="11"/>
        <v>5332</v>
      </c>
      <c r="AB18" s="868">
        <f t="shared" si="11"/>
        <v>141</v>
      </c>
      <c r="AC18" s="868">
        <f t="shared" si="11"/>
        <v>5473</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0.67912552891396338</v>
      </c>
      <c r="AM18" s="874">
        <f>IF(ISNUMBER(((NºAsuntos!I18/NºAsuntos!G18)*11)/factor_trimestre),((NºAsuntos!I18/NºAsuntos!G18)*11)/factor_trimestre," - ")</f>
        <v>16.610591900311526</v>
      </c>
      <c r="AN18" s="875">
        <f>IF(ISNUMBER('Resol  Asuntos'!D18/NºAsuntos!G18),'Resol  Asuntos'!D18/NºAsuntos!G18," - ")</f>
        <v>0.1111111111111111</v>
      </c>
      <c r="AO18" s="876">
        <f>IF(ISNUMBER((NºAsuntos!C18+NºAsuntos!E18)/NºAsuntos!G18),(NºAsuntos!C18+NºAsuntos!E18)/NºAsuntos!G18," - ")</f>
        <v>6.5254413291796469</v>
      </c>
      <c r="AP18" s="877" t="str">
        <f t="shared" si="2"/>
        <v xml:space="preserve"> - </v>
      </c>
      <c r="AQ18" s="877">
        <f>IF(ISNUMBER((H18-W18+K18)/(F18)),(H18-W18+K18)/(F18)," - ")</f>
        <v>-0.2045889101338432</v>
      </c>
      <c r="AR18" s="878">
        <f>IF(ISNUMBER((Datos!P18-Datos!Q18)/(Datos!R18-Datos!P18+Datos!Q18)),(Datos!P18-Datos!Q18)/(Datos!R18-Datos!P18+Datos!Q18)," - ")</f>
        <v>-4.72972972972973E-2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4776</v>
      </c>
      <c r="G19" s="821">
        <f t="shared" si="13"/>
        <v>4935</v>
      </c>
      <c r="H19" s="820">
        <f t="shared" si="13"/>
        <v>0</v>
      </c>
      <c r="I19" s="822">
        <f t="shared" si="13"/>
        <v>0</v>
      </c>
      <c r="J19" s="822">
        <f t="shared" si="13"/>
        <v>0</v>
      </c>
      <c r="K19" s="881">
        <f t="shared" si="13"/>
        <v>0</v>
      </c>
      <c r="L19" s="822">
        <f t="shared" si="13"/>
        <v>129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971</v>
      </c>
      <c r="X19" s="821">
        <f t="shared" si="14"/>
        <v>68</v>
      </c>
      <c r="Y19" s="828">
        <f t="shared" si="14"/>
        <v>1039</v>
      </c>
      <c r="Z19" s="828">
        <f t="shared" si="14"/>
        <v>0</v>
      </c>
      <c r="AA19" s="828">
        <f t="shared" si="14"/>
        <v>5395</v>
      </c>
      <c r="AB19" s="828">
        <f t="shared" si="14"/>
        <v>4874</v>
      </c>
      <c r="AC19" s="828">
        <f t="shared" si="14"/>
        <v>5549</v>
      </c>
      <c r="AD19" s="828">
        <f t="shared" si="14"/>
        <v>0</v>
      </c>
      <c r="AE19" s="830">
        <f t="shared" si="14"/>
        <v>0</v>
      </c>
      <c r="AF19" s="831">
        <f t="shared" si="14"/>
        <v>0</v>
      </c>
      <c r="AG19" s="832">
        <f t="shared" si="14"/>
        <v>0</v>
      </c>
      <c r="AH19" s="830">
        <f t="shared" si="14"/>
        <v>0</v>
      </c>
      <c r="AI19" s="820">
        <f t="shared" si="14"/>
        <v>213</v>
      </c>
      <c r="AJ19" s="820">
        <f t="shared" si="14"/>
        <v>0</v>
      </c>
      <c r="AK19" s="830">
        <f t="shared" si="14"/>
        <v>0</v>
      </c>
      <c r="AL19" s="884">
        <f>IF(ISNUMBER(NºAsuntos!G19/NºAsuntos!E19),NºAsuntos!G19/NºAsuntos!E19," - ")</f>
        <v>0.65773944620971403</v>
      </c>
      <c r="AM19" s="885">
        <f>IF(ISNUMBER(((NºAsuntos!I19/NºAsuntos!G19)*11)/factor_trimestre),((NºAsuntos!I19/NºAsuntos!G19)*11)/factor_trimestre," - ")</f>
        <v>25.602484472049692</v>
      </c>
      <c r="AN19" s="885">
        <f>IF(ISNUMBER('Resol  Asuntos'!D19/NºAsuntos!G19),'Resol  Asuntos'!D19/NºAsuntos!G19," - ")</f>
        <v>0.14699792960662525</v>
      </c>
      <c r="AO19" s="886">
        <f>IF(ISNUMBER((NºAsuntos!C19+NºAsuntos!E19)/NºAsuntos!G19),(NºAsuntos!C19+NºAsuntos!E19)/NºAsuntos!G19," - ")</f>
        <v>9.5072463768115938</v>
      </c>
      <c r="AP19" s="887" t="str">
        <f t="shared" si="2"/>
        <v xml:space="preserve"> - </v>
      </c>
      <c r="AQ19" s="888">
        <f>IF(OR(ISNUMBER(FIND("01",Criterios!A8,1)),ISNUMBER(FIND("02",Criterios!A8,1)),ISNUMBER(FIND("03",Criterios!A8,1)),ISNUMBER(FIND("04",Criterios!A8,1))),(I19-W19+K19)/(F19-K19),(H19-W19+K19)/(F19-K19))</f>
        <v>-0.20330820770519262</v>
      </c>
      <c r="AR19" s="889">
        <f>IF(ISNUMBER((Datos!P19-Datos!Q19)/(Datos!R19-Datos!P19+Datos!Q19)),(Datos!P19-Datos!Q19)/(Datos!R19-Datos!P19+Datos!Q19)," - ")</f>
        <v>1.2674007895283607E-2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2677.7505485014844</v>
      </c>
      <c r="G21" s="253">
        <f>IF(ISNUMBER(STDEV(G8:G18)),STDEV(G8:G18),"-")</f>
        <v>2563.4651353197687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482.05839895182822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47.673892226248952</v>
      </c>
      <c r="AJ21" s="252">
        <f t="shared" si="18"/>
        <v>0</v>
      </c>
      <c r="AK21" s="254">
        <f t="shared" si="18"/>
        <v>0</v>
      </c>
      <c r="AL21" s="249">
        <f t="shared" si="18"/>
        <v>1.3588969560922564</v>
      </c>
      <c r="AM21" s="250">
        <f t="shared" si="18"/>
        <v>15.864788623199304</v>
      </c>
      <c r="AN21" s="250">
        <f t="shared" si="18"/>
        <v>6.1221197936173512E-2</v>
      </c>
      <c r="AO21" s="251">
        <f t="shared" si="18"/>
        <v>5.2631709334456032</v>
      </c>
      <c r="AP21" s="291" t="str">
        <f t="shared" si="18"/>
        <v>-</v>
      </c>
      <c r="AQ21" s="292">
        <f t="shared" si="18"/>
        <v>6.2682810791026319E-2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end/+Ky9NnR9Qvv116PvshoxGNKUVjp4/VGPekNxxGhbj3MDp87O6ou1OZiCA7SmEUq/Ini6JGldk39VJqMg==" saltValue="6tgAnk8nRmJQ+YK1HwhD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-0.48888888888888887</v>
      </c>
      <c r="E10" s="348">
        <f>IF(ISNUMBER((Datos!J10-Datos!T10)/Datos!T10),(Datos!J10-Datos!T10)/Datos!T10," - ")</f>
        <v>1</v>
      </c>
      <c r="F10" s="348" t="str">
        <f>IF(ISNUMBER((Datos!K10-Datos!U10)/Datos!U10),(Datos!K10-Datos!U10)/Datos!U10," - ")</f>
        <v xml:space="preserve"> - </v>
      </c>
      <c r="G10" s="349">
        <f>IF(ISNUMBER((Datos!L10-Datos!V10)/Datos!V10),(Datos!L10-Datos!V10)/Datos!V10," - ")</f>
        <v>-0.53676470588235292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-0.39884393063583817</v>
      </c>
      <c r="I12" s="350">
        <f>IF(ISNUMBER((Tasas!C12-Datos!BE12)/Datos!BE12),(Tasas!C12-Datos!BE12)/Datos!BE12," - ")</f>
        <v>0.52548974982930974</v>
      </c>
      <c r="J12" s="349">
        <f>IF(ISNUMBER((Tasas!D12-Datos!BF12)/Datos!BF12),(Tasas!D12-Datos!BF12)/Datos!BF12," - ")</f>
        <v>-0.41910062152171262</v>
      </c>
      <c r="K12" s="351">
        <f>IF(ISNUMBER((Tasas!E12-Datos!BG12)/Datos!BG12),(Tasas!E12-Datos!BG12)/Datos!BG12," - ")</f>
        <v>0.47018036008621772</v>
      </c>
      <c r="M12" t="e">
        <f>IF(Monitorios="SI",Datos!CE12,0)</f>
        <v>#REF!</v>
      </c>
      <c r="N12" t="e">
        <f>IF(Monitorios="SI",Datos!CF12,0)</f>
        <v>#REF!</v>
      </c>
      <c r="O12" t="e">
        <f>IF(Monitorios="SI",Datos!CG12,0)</f>
        <v>#REF!</v>
      </c>
      <c r="P12" t="e">
        <f>IF(Monitorios="SI",Datos!CH12,0)</f>
        <v>#REF!</v>
      </c>
      <c r="Q12">
        <f>IF(J_V="SI",0,Datos!AG12)</f>
        <v>196</v>
      </c>
      <c r="R12">
        <f>IF(J_V="SI",0,Datos!AH12)</f>
        <v>50</v>
      </c>
      <c r="S12">
        <f>IF(J_V="SI",0,Datos!AI12)</f>
        <v>40</v>
      </c>
      <c r="T12">
        <f>IF(J_V="SI",0,Datos!AJ12)</f>
        <v>206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-0.38728323699421963</v>
      </c>
      <c r="I13" s="357">
        <f>IF(ISNUMBER((Tasas!C13-Datos!BE13)/Datos!BE13),(Tasas!C13-Datos!BE13)/Datos!BE13," - ")</f>
        <v>0.47576716089054916</v>
      </c>
      <c r="J13" s="355">
        <f>IF(ISNUMBER((Tasas!D13-Datos!BF13)/Datos!BF13),(Tasas!D13-Datos!BF13)/Datos!BF13," - ")</f>
        <v>-0.41767549642414803</v>
      </c>
      <c r="K13" s="358">
        <f>IF(ISNUMBER((Tasas!E13-Datos!BG13)/Datos!BG13),(Tasas!E13-Datos!BG13)/Datos!BG13," - ")</f>
        <v>0.42641332823776379</v>
      </c>
      <c r="M13" t="e">
        <f>IF(Monitorios="SI",Datos!CE13,0)</f>
        <v>#REF!</v>
      </c>
      <c r="N13" t="e">
        <f>IF(Monitorios="SI",Datos!CF13,0)</f>
        <v>#REF!</v>
      </c>
      <c r="O13" t="e">
        <f>IF(Monitorios="SI",Datos!CG13,0)</f>
        <v>#REF!</v>
      </c>
      <c r="P13" t="e">
        <f>IF(Monitorios="SI",Datos!CH13,0)</f>
        <v>#REF!</v>
      </c>
      <c r="Q13">
        <f>IF(J_V="SI",0,Datos!AG13)</f>
        <v>196</v>
      </c>
      <c r="R13">
        <f>IF(J_V="SI",0,Datos!AH13)</f>
        <v>50</v>
      </c>
      <c r="S13">
        <f>IF(J_V="SI",0,Datos!AI13)</f>
        <v>40</v>
      </c>
      <c r="T13">
        <f>IF(J_V="SI",0,Datos!AJ13)</f>
        <v>206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3.2044434949797052E-3</v>
      </c>
      <c r="E16" s="348">
        <f>IF(ISNUMBER(
   IF(D_I="SI",(Datos!J16-Datos!T16)/Datos!T16,(Datos!J16+Datos!AD16-(Datos!T16+Datos!AL16))/(Datos!T16+Datos!AL16))
     ),IF(D_I="SI",(Datos!J16-Datos!T16)/Datos!T16,(Datos!J16+Datos!AD16-(Datos!T16+Datos!AL16))/(Datos!T16+Datos!AL16))," - ")</f>
        <v>0.19368974583698509</v>
      </c>
      <c r="F16" s="348">
        <f>IF(ISNUMBER(
   IF(D_I="SI",(Datos!K16-Datos!U16)/Datos!U16,(Datos!K16+Datos!AE16-(Datos!U16+Datos!AM16))/(Datos!U16+Datos!AM16))
     ),IF(D_I="SI",(Datos!K16-Datos!U16)/Datos!U16,(Datos!K16+Datos!AE16-(Datos!U16+Datos!AM16))/(Datos!U16+Datos!AM16))," - ")</f>
        <v>-7.8891257995735611E-2</v>
      </c>
      <c r="G16" s="349">
        <f>IF(ISNUMBER(
   IF(D_I="SI",(Datos!L16-Datos!V16)/Datos!V16,(Datos!L16+Datos!AF16-(Datos!V16+Datos!AN16))/(Datos!V16+Datos!AN16))
     ),IF(D_I="SI",(Datos!L16-Datos!V16)/Datos!V16,(Datos!L16+Datos!AF16-(Datos!V16+Datos!AN16))/(Datos!V16+Datos!AN16))," - ")</f>
        <v>6.5724815724815727E-2</v>
      </c>
      <c r="H16" s="230">
        <f>IF(ISNUMBER((Datos!M16-Datos!W16)/Datos!W16),(Datos!M16-Datos!W16)/Datos!W16," - ")</f>
        <v>0</v>
      </c>
      <c r="I16" s="350">
        <f>IF(ISNUMBER((Tasas!C16-Datos!BE16)/Datos!BE16),(Tasas!C16-Datos!BE16)/Datos!BE16," - ")</f>
        <v>0.15700217262717259</v>
      </c>
      <c r="J16" s="349">
        <f>IF(ISNUMBER((Tasas!D16-Datos!BF16)/Datos!BF16),(Tasas!D16-Datos!BF16)/Datos!BF16," - ")</f>
        <v>8.5648148148148029E-2</v>
      </c>
      <c r="K16" s="351">
        <f>IF(ISNUMBER((Tasas!E16-Datos!BG16)/Datos!BG16),(Tasas!E16-Datos!BG16)/Datos!BG16," - ")</f>
        <v>0.12965587108922738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0.18055555555555555</v>
      </c>
      <c r="E17" s="348">
        <f>IF(ISNUMBER(
   IF(D_I="SI",(Datos!J17-Datos!T17)/Datos!T17,(Datos!J17+Datos!AD17-(Datos!T17+Datos!AL17))/(Datos!T17+Datos!AL17))
     ),IF(D_I="SI",(Datos!J17-Datos!T17)/Datos!T17,(Datos!J17+Datos!AD17-(Datos!T17+Datos!AL17))/(Datos!T17+Datos!AL17))," - ")</f>
        <v>-0.58208955223880599</v>
      </c>
      <c r="F17" s="348">
        <f>IF(ISNUMBER(
   IF(D_I="SI",(Datos!K17-Datos!U17)/Datos!U17,(Datos!K17+Datos!AE17-(Datos!U17+Datos!AM17))/(Datos!U17+Datos!AM17))
     ),IF(D_I="SI",(Datos!K17-Datos!U17)/Datos!U17,(Datos!K17+Datos!AE17-(Datos!U17+Datos!AM17))/(Datos!U17+Datos!AM17))," - ")</f>
        <v>0.16470588235294117</v>
      </c>
      <c r="G17" s="349">
        <f>IF(ISNUMBER(
   IF(D_I="SI",(Datos!L17-Datos!V17)/Datos!V17,(Datos!L17+Datos!AF17-(Datos!V17+Datos!AN17))/(Datos!V17+Datos!AN17))
     ),IF(D_I="SI",(Datos!L17-Datos!V17)/Datos!V17,(Datos!L17+Datos!AF17-(Datos!V17+Datos!AN17))/(Datos!V17+Datos!AN17))," - ")</f>
        <v>-0.55749128919860624</v>
      </c>
      <c r="H17" s="230">
        <f>IF(ISNUMBER((Datos!M17-Datos!W17)/Datos!W17),(Datos!M17-Datos!W17)/Datos!W17," - ")</f>
        <v>2.1666666666666665</v>
      </c>
      <c r="I17" s="350">
        <f>IF(ISNUMBER((Tasas!C17-Datos!BE17)/Datos!BE17),(Tasas!C17-Datos!BE17)/Datos!BE17," - ")</f>
        <v>-0.62006827860486391</v>
      </c>
      <c r="J17" s="349">
        <f>IF(ISNUMBER((Tasas!D17-Datos!BF17)/Datos!BF17),(Tasas!D17-Datos!BF17)/Datos!BF17," - ")</f>
        <v>1.7188552188552186</v>
      </c>
      <c r="K17" s="351">
        <f>IF(ISNUMBER((Tasas!E17-Datos!BG17)/Datos!BG17),(Tasas!E17-Datos!BG17)/Datos!BG17," - ")</f>
        <v>-0.30201293510646027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8.4974093264248707E-3</v>
      </c>
      <c r="E18" s="354">
        <f>IF(ISNUMBER(
   IF(D_I="SI",(Datos!J18-Datos!T18)/Datos!T18,(Datos!J18+Datos!AD18-(Datos!T18+Datos!AL18))/(Datos!T18+Datos!AL18))
     ),IF(D_I="SI",(Datos!J18-Datos!T18)/Datos!T18,(Datos!J18+Datos!AD18-(Datos!T18+Datos!AL18))/(Datos!T18+Datos!AL18))," - ")</f>
        <v>0.11215686274509803</v>
      </c>
      <c r="F18" s="354">
        <f>IF(ISNUMBER(
   IF(D_I="SI",(Datos!K18-Datos!U18)/Datos!U18,(Datos!K18+Datos!AE18-(Datos!U18+Datos!AM18))/(Datos!U18+Datos!AM18))
     ),IF(D_I="SI",(Datos!K18-Datos!U18)/Datos!U18,(Datos!K18+Datos!AE18-(Datos!U18+Datos!AM18))/(Datos!U18+Datos!AM18))," - ")</f>
        <v>-5.865102639296188E-2</v>
      </c>
      <c r="G18" s="355">
        <f>IF(ISNUMBER(
   IF(D_I="SI",(Datos!L18-Datos!V18)/Datos!V18,(Datos!L18+Datos!AF18-(Datos!V18+Datos!AN18))/(Datos!V18+Datos!AN18))
     ),IF(D_I="SI",(Datos!L18-Datos!V18)/Datos!V18,(Datos!L18+Datos!AF18-(Datos!V18+Datos!AN18))/(Datos!V18+Datos!AN18))," - ")</f>
        <v>3.1135176948365886E-2</v>
      </c>
      <c r="H18" s="356">
        <f>IF(ISNUMBER((Datos!M18-Datos!W18)/Datos!W18),(Datos!M18-Datos!W18)/Datos!W18," - ")</f>
        <v>0.13829787234042554</v>
      </c>
      <c r="I18" s="357">
        <f>IF(ISNUMBER((Tasas!C18-Datos!BE18)/Datos!BE18),(Tasas!C18-Datos!BE18)/Datos!BE18," - ")</f>
        <v>9.5380359312749977E-2</v>
      </c>
      <c r="J18" s="355">
        <f>IF(ISNUMBER((Tasas!D18-Datos!BF18)/Datos!BF18),(Tasas!D18-Datos!BF18)/Datos!BF18," - ")</f>
        <v>0.20921985815602828</v>
      </c>
      <c r="K18" s="358">
        <f>IF(ISNUMBER((Tasas!E18-Datos!BG18)/Datos!BG18),(Tasas!E18-Datos!BG18)/Datos!BG18," - ")</f>
        <v>9.434860323783259E-2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0.26633110843637159</v>
      </c>
      <c r="E19" s="363">
        <f>IF(ISNUMBER(
   IF(J_V="SI",(Datos!J19-Datos!T19)/Datos!T19,(Datos!J19+Datos!Z19-(Datos!T19+Datos!AH19))/(Datos!T19+Datos!AH19))
     ),IF(J_V="SI",(Datos!J19-Datos!T19)/Datos!T19,(Datos!J19+Datos!Z19-(Datos!T19+Datos!AH19))/(Datos!T19+Datos!AH19))," - ")</f>
        <v>-0.24165232358003441</v>
      </c>
      <c r="F19" s="363">
        <f>IF(ISNUMBER(
   IF(J_V="SI",(Datos!K19-Datos!U19)/Datos!U19,(Datos!K19+Datos!AA19-(Datos!U19+Datos!AI19))/(Datos!U19+Datos!AI19))
     ),IF(J_V="SI",(Datos!K19-Datos!U19)/Datos!U19,(Datos!K19+Datos!AA19-(Datos!U19+Datos!AI19))/(Datos!U19+Datos!AI19))," - ")</f>
        <v>-7.8830260648442466E-2</v>
      </c>
      <c r="G19" s="364">
        <f>IF(ISNUMBER(
   IF(J_V="SI",(Datos!L19-Datos!V19)/Datos!V19,(Datos!L19+Datos!AB19-(Datos!V19+Datos!AJ19))/(Datos!V19+Datos!AJ19))
     ),IF(J_V="SI",(Datos!L19-Datos!V19)/Datos!V19,(Datos!L19+Datos!AB19-(Datos!V19+Datos!AJ19))/(Datos!V19+Datos!AJ19))," - ")</f>
        <v>0.17046852815901561</v>
      </c>
      <c r="H19" s="365">
        <f>IF(ISNUMBER((Datos!M19-Datos!W19)/Datos!W19),(Datos!M19-Datos!W19)/Datos!W19," - ")</f>
        <v>-0.20224719101123595</v>
      </c>
      <c r="I19" s="362">
        <f>IF(ISNUMBER((Tasas!C19-Datos!BE19)/Datos!BE19),(Tasas!C19-Datos!BE19)/Datos!BE19," - ")</f>
        <v>0.27063284664881404</v>
      </c>
      <c r="J19" s="363">
        <f>IF(ISNUMBER((Tasas!D19-Datos!BF19)/Datos!BF19),(Tasas!D19-Datos!BF19)/Datos!BF19," - ")</f>
        <v>-0.22924085576259493</v>
      </c>
      <c r="K19" s="364">
        <f>IF(ISNUMBER((Tasas!E19-Datos!BG19)/Datos!BG19),(Tasas!E19-Datos!BG19)/Datos!BG19," - ")</f>
        <v>0.24168868737335078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0.28850047367765058</v>
      </c>
      <c r="E21" s="278">
        <f t="shared" si="1"/>
        <v>0.64755104230660743</v>
      </c>
      <c r="F21" s="278">
        <f t="shared" si="1"/>
        <v>0.13517737880646088</v>
      </c>
      <c r="G21" s="279">
        <f t="shared" si="1"/>
        <v>0.34423942310268396</v>
      </c>
      <c r="H21" s="285">
        <f t="shared" si="1"/>
        <v>1.0678555778359964</v>
      </c>
      <c r="I21" s="277">
        <f t="shared" si="1"/>
        <v>0.45837843259075367</v>
      </c>
      <c r="J21" s="278">
        <f t="shared" si="1"/>
        <v>0.87730112708682306</v>
      </c>
      <c r="K21" s="279">
        <f t="shared" si="1"/>
        <v>0.31056628091730465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B+Ga97kOQFD2R6RcbxUFjC/7HS/iDJmNNXmnWDi2OUmW+GItiTy4+XcY+8GYZtrldzKoek4fVOgu7CWw1ISXQ==" saltValue="O4/oxim/LkDkcFvKFam1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